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46011</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46011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46011</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46011</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46011</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46011</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46011</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46011</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46011</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46011</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46011</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46011</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46011</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46011</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46011</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46011</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46011</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46011</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46011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46011</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46011</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46011</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46011</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46011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46011</v>
      </c>
      <c r="D27" t="inlineStr">
        <is>
          <t>VÄSTRA GÖTALANDS LÄN</t>
        </is>
      </c>
      <c r="E27" t="inlineStr">
        <is>
          <t>TJÖRN</t>
        </is>
      </c>
      <c r="G27" t="n">
        <v>9.5</v>
      </c>
      <c r="H27" t="n">
        <v>6</v>
      </c>
      <c r="I27" t="n">
        <v>4</v>
      </c>
      <c r="J27" t="n">
        <v>3</v>
      </c>
      <c r="K27" t="n">
        <v>0</v>
      </c>
      <c r="L27" t="n">
        <v>2</v>
      </c>
      <c r="M27" t="n">
        <v>0</v>
      </c>
      <c r="N27" t="n">
        <v>0</v>
      </c>
      <c r="O27" t="n">
        <v>5</v>
      </c>
      <c r="P27" t="n">
        <v>2</v>
      </c>
      <c r="Q27" t="n">
        <v>11</v>
      </c>
      <c r="R27" s="2" t="inlineStr">
        <is>
          <t>Ask
Grönfink
Entita
Spillkråka
Tretåig hackspett
Blomkålssvamp
Guldlockmossa
Igelkottsröksvamp
Klibbtickgnagare
Kungsfågel
Äkta lopplummer</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46011</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32849-2023</t>
        </is>
      </c>
      <c r="B29" s="1" t="n">
        <v>45124</v>
      </c>
      <c r="C29" s="1" t="n">
        <v>46011</v>
      </c>
      <c r="D29" t="inlineStr">
        <is>
          <t>VÄSTRA GÖTALANDS LÄN</t>
        </is>
      </c>
      <c r="E29" t="inlineStr">
        <is>
          <t>ALE</t>
        </is>
      </c>
      <c r="G29" t="n">
        <v>5.6</v>
      </c>
      <c r="H29" t="n">
        <v>3</v>
      </c>
      <c r="I29" t="n">
        <v>7</v>
      </c>
      <c r="J29" t="n">
        <v>2</v>
      </c>
      <c r="K29" t="n">
        <v>0</v>
      </c>
      <c r="L29" t="n">
        <v>0</v>
      </c>
      <c r="M29" t="n">
        <v>0</v>
      </c>
      <c r="N29" t="n">
        <v>0</v>
      </c>
      <c r="O29" t="n">
        <v>2</v>
      </c>
      <c r="P29" t="n">
        <v>0</v>
      </c>
      <c r="Q29" t="n">
        <v>11</v>
      </c>
      <c r="R29" s="2" t="inlineStr">
        <is>
          <t>Motaggsvamp
Spillkråka
Blåmossa
Dropptaggsvamp
Kornknutmossa
Sotriska
Stor revmossa
Stubbspretmossa
Västlig hakmossa
Vanlig groda
Revlummer</t>
        </is>
      </c>
      <c r="S29">
        <f>HYPERLINK("https://klasma.github.io/Logging_1440/artfynd/A 32849-2023 artfynd.xlsx", "A 32849-2023")</f>
        <v/>
      </c>
      <c r="T29">
        <f>HYPERLINK("https://klasma.github.io/Logging_1440/kartor/A 32849-2023 karta.png", "A 32849-2023")</f>
        <v/>
      </c>
      <c r="V29">
        <f>HYPERLINK("https://klasma.github.io/Logging_1440/klagomål/A 32849-2023 FSC-klagomål.docx", "A 32849-2023")</f>
        <v/>
      </c>
      <c r="W29">
        <f>HYPERLINK("https://klasma.github.io/Logging_1440/klagomålsmail/A 32849-2023 FSC-klagomål mail.docx", "A 32849-2023")</f>
        <v/>
      </c>
      <c r="X29">
        <f>HYPERLINK("https://klasma.github.io/Logging_1440/tillsyn/A 32849-2023 tillsynsbegäran.docx", "A 32849-2023")</f>
        <v/>
      </c>
      <c r="Y29">
        <f>HYPERLINK("https://klasma.github.io/Logging_1440/tillsynsmail/A 32849-2023 tillsynsbegäran mail.docx", "A 32849-2023")</f>
        <v/>
      </c>
      <c r="Z29">
        <f>HYPERLINK("https://klasma.github.io/Logging_1440/fåglar/A 32849-2023 prioriterade fågelarter.docx", "A 32849-2023")</f>
        <v/>
      </c>
    </row>
    <row r="30" ht="15" customHeight="1">
      <c r="A30" t="inlineStr">
        <is>
          <t>A 28254-2023</t>
        </is>
      </c>
      <c r="B30" s="1" t="n">
        <v>45099</v>
      </c>
      <c r="C30" s="1" t="n">
        <v>46011</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46011</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41294-2024</t>
        </is>
      </c>
      <c r="B32" s="1" t="n">
        <v>45559</v>
      </c>
      <c r="C32" s="1" t="n">
        <v>46011</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46011</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46011</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59601-2022</t>
        </is>
      </c>
      <c r="B35" s="1" t="n">
        <v>44907</v>
      </c>
      <c r="C35" s="1" t="n">
        <v>46011</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33612-2023</t>
        </is>
      </c>
      <c r="B36" s="1" t="n">
        <v>45132</v>
      </c>
      <c r="C36" s="1" t="n">
        <v>46011</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46011</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46011</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31268-2025</t>
        </is>
      </c>
      <c r="B39" s="1" t="n">
        <v>45833.33390046296</v>
      </c>
      <c r="C39" s="1" t="n">
        <v>46011</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46011</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35905-2025</t>
        </is>
      </c>
      <c r="B41" s="1" t="n">
        <v>45862</v>
      </c>
      <c r="C41" s="1" t="n">
        <v>46011</v>
      </c>
      <c r="D41" t="inlineStr">
        <is>
          <t>VÄSTRA GÖTALANDS LÄN</t>
        </is>
      </c>
      <c r="E41" t="inlineStr">
        <is>
          <t>ALE</t>
        </is>
      </c>
      <c r="G41" t="n">
        <v>4.2</v>
      </c>
      <c r="H41" t="n">
        <v>5</v>
      </c>
      <c r="I41" t="n">
        <v>3</v>
      </c>
      <c r="J41" t="n">
        <v>2</v>
      </c>
      <c r="K41" t="n">
        <v>0</v>
      </c>
      <c r="L41" t="n">
        <v>0</v>
      </c>
      <c r="M41" t="n">
        <v>0</v>
      </c>
      <c r="N41" t="n">
        <v>0</v>
      </c>
      <c r="O41" t="n">
        <v>2</v>
      </c>
      <c r="P41" t="n">
        <v>0</v>
      </c>
      <c r="Q41" t="n">
        <v>9</v>
      </c>
      <c r="R41" s="2" t="inlineStr">
        <is>
          <t>Skogshare
Spillkråka
Blåmossa
Stor revmossa
Västlig hakmossa
Grönsiska
Kungsfågel
Revlummer
Äkta lopplummer</t>
        </is>
      </c>
      <c r="S41">
        <f>HYPERLINK("https://klasma.github.io/Logging_1440/artfynd/A 35905-2025 artfynd.xlsx", "A 35905-2025")</f>
        <v/>
      </c>
      <c r="T41">
        <f>HYPERLINK("https://klasma.github.io/Logging_1440/kartor/A 35905-2025 karta.png", "A 35905-2025")</f>
        <v/>
      </c>
      <c r="V41">
        <f>HYPERLINK("https://klasma.github.io/Logging_1440/klagomål/A 35905-2025 FSC-klagomål.docx", "A 35905-2025")</f>
        <v/>
      </c>
      <c r="W41">
        <f>HYPERLINK("https://klasma.github.io/Logging_1440/klagomålsmail/A 35905-2025 FSC-klagomål mail.docx", "A 35905-2025")</f>
        <v/>
      </c>
      <c r="X41">
        <f>HYPERLINK("https://klasma.github.io/Logging_1440/tillsyn/A 35905-2025 tillsynsbegäran.docx", "A 35905-2025")</f>
        <v/>
      </c>
      <c r="Y41">
        <f>HYPERLINK("https://klasma.github.io/Logging_1440/tillsynsmail/A 35905-2025 tillsynsbegäran mail.docx", "A 35905-2025")</f>
        <v/>
      </c>
      <c r="Z41">
        <f>HYPERLINK("https://klasma.github.io/Logging_1440/fåglar/A 35905-2025 prioriterade fågelarter.docx", "A 35905-2025")</f>
        <v/>
      </c>
    </row>
    <row r="42" ht="15" customHeight="1">
      <c r="A42" t="inlineStr">
        <is>
          <t>A 362-2023</t>
        </is>
      </c>
      <c r="B42" s="1" t="n">
        <v>44923</v>
      </c>
      <c r="C42" s="1" t="n">
        <v>46011</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51991-2025</t>
        </is>
      </c>
      <c r="B43" s="1" t="n">
        <v>45952.58069444444</v>
      </c>
      <c r="C43" s="1" t="n">
        <v>46011</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315-2024</t>
        </is>
      </c>
      <c r="B44" s="1" t="n">
        <v>45295</v>
      </c>
      <c r="C44" s="1" t="n">
        <v>46011</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43732-2025</t>
        </is>
      </c>
      <c r="B45" s="1" t="n">
        <v>45912.43576388889</v>
      </c>
      <c r="C45" s="1" t="n">
        <v>46011</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1293-2021</t>
        </is>
      </c>
      <c r="B46" s="1" t="n">
        <v>44208</v>
      </c>
      <c r="C46" s="1" t="n">
        <v>46011</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46011</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46011</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42944-2022</t>
        </is>
      </c>
      <c r="B49" s="1" t="n">
        <v>44833.38484953704</v>
      </c>
      <c r="C49" s="1" t="n">
        <v>46011</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13115-2025</t>
        </is>
      </c>
      <c r="B50" s="1" t="n">
        <v>45734</v>
      </c>
      <c r="C50" s="1" t="n">
        <v>46011</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46011</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13969-2024</t>
        </is>
      </c>
      <c r="B52" s="1" t="n">
        <v>45392</v>
      </c>
      <c r="C52" s="1" t="n">
        <v>46011</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7086-2025</t>
        </is>
      </c>
      <c r="B53" s="1" t="n">
        <v>45701.71184027778</v>
      </c>
      <c r="C53" s="1" t="n">
        <v>46011</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37005-2025</t>
        </is>
      </c>
      <c r="B54" s="1" t="n">
        <v>45874.69311342593</v>
      </c>
      <c r="C54" s="1" t="n">
        <v>46011</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46011</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318-2024</t>
        </is>
      </c>
      <c r="B56" s="1" t="n">
        <v>45295</v>
      </c>
      <c r="C56" s="1" t="n">
        <v>46011</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30285-2025</t>
        </is>
      </c>
      <c r="B57" s="1" t="n">
        <v>45827</v>
      </c>
      <c r="C57" s="1" t="n">
        <v>46011</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37370-2023</t>
        </is>
      </c>
      <c r="B58" s="1" t="n">
        <v>45156.51152777778</v>
      </c>
      <c r="C58" s="1" t="n">
        <v>46011</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56336-2024</t>
        </is>
      </c>
      <c r="B59" s="1" t="n">
        <v>45624.81018518518</v>
      </c>
      <c r="C59" s="1" t="n">
        <v>46011</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22584-2021</t>
        </is>
      </c>
      <c r="B60" s="1" t="n">
        <v>44327</v>
      </c>
      <c r="C60" s="1" t="n">
        <v>46011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35310-2024</t>
        </is>
      </c>
      <c r="B61" s="1" t="n">
        <v>45530.6829050926</v>
      </c>
      <c r="C61" s="1" t="n">
        <v>46011</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46011</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40059-2025</t>
        </is>
      </c>
      <c r="B63" s="1" t="n">
        <v>45894.42600694444</v>
      </c>
      <c r="C63" s="1" t="n">
        <v>46011</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1202-2024</t>
        </is>
      </c>
      <c r="B64" s="1" t="n">
        <v>45302</v>
      </c>
      <c r="C64" s="1" t="n">
        <v>46011</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46011</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1291-2025</t>
        </is>
      </c>
      <c r="B66" s="1" t="n">
        <v>45667</v>
      </c>
      <c r="C66" s="1" t="n">
        <v>46011</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46011</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3655-2021</t>
        </is>
      </c>
      <c r="B68" s="1" t="n">
        <v>44221</v>
      </c>
      <c r="C68" s="1" t="n">
        <v>46011</v>
      </c>
      <c r="D68" t="inlineStr">
        <is>
          <t>VÄSTRA GÖTALANDS LÄN</t>
        </is>
      </c>
      <c r="E68" t="inlineStr">
        <is>
          <t>HÄRRYDA</t>
        </is>
      </c>
      <c r="G68" t="n">
        <v>2.5</v>
      </c>
      <c r="H68" t="n">
        <v>6</v>
      </c>
      <c r="I68" t="n">
        <v>1</v>
      </c>
      <c r="J68" t="n">
        <v>3</v>
      </c>
      <c r="K68" t="n">
        <v>0</v>
      </c>
      <c r="L68" t="n">
        <v>0</v>
      </c>
      <c r="M68" t="n">
        <v>0</v>
      </c>
      <c r="N68" t="n">
        <v>0</v>
      </c>
      <c r="O68" t="n">
        <v>3</v>
      </c>
      <c r="P68" t="n">
        <v>0</v>
      </c>
      <c r="Q68" t="n">
        <v>7</v>
      </c>
      <c r="R68" s="2" t="inlineStr">
        <is>
          <t>Gulsparv
Nordfladdermus
Ärtsångare
Björksplintborre
Enkelbeckasin
Järnsparv
Vanlig groda</t>
        </is>
      </c>
      <c r="S68">
        <f>HYPERLINK("https://klasma.github.io/Logging_1401/artfynd/A 3655-2021 artfynd.xlsx", "A 3655-2021")</f>
        <v/>
      </c>
      <c r="T68">
        <f>HYPERLINK("https://klasma.github.io/Logging_1401/kartor/A 3655-2021 karta.png", "A 3655-2021")</f>
        <v/>
      </c>
      <c r="V68">
        <f>HYPERLINK("https://klasma.github.io/Logging_1401/klagomål/A 3655-2021 FSC-klagomål.docx", "A 3655-2021")</f>
        <v/>
      </c>
      <c r="W68">
        <f>HYPERLINK("https://klasma.github.io/Logging_1401/klagomålsmail/A 3655-2021 FSC-klagomål mail.docx", "A 3655-2021")</f>
        <v/>
      </c>
      <c r="X68">
        <f>HYPERLINK("https://klasma.github.io/Logging_1401/tillsyn/A 3655-2021 tillsynsbegäran.docx", "A 3655-2021")</f>
        <v/>
      </c>
      <c r="Y68">
        <f>HYPERLINK("https://klasma.github.io/Logging_1401/tillsynsmail/A 3655-2021 tillsynsbegäran mail.docx", "A 3655-2021")</f>
        <v/>
      </c>
      <c r="Z68">
        <f>HYPERLINK("https://klasma.github.io/Logging_1401/fåglar/A 3655-2021 prioriterade fågelarter.docx", "A 3655-2021")</f>
        <v/>
      </c>
    </row>
    <row r="69" ht="15" customHeight="1">
      <c r="A69" t="inlineStr">
        <is>
          <t>A 57763-2024</t>
        </is>
      </c>
      <c r="B69" s="1" t="n">
        <v>45630.85815972222</v>
      </c>
      <c r="C69" s="1" t="n">
        <v>46011</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29174-2025</t>
        </is>
      </c>
      <c r="B70" s="1" t="n">
        <v>45821</v>
      </c>
      <c r="C70" s="1" t="n">
        <v>46011</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52087-2025</t>
        </is>
      </c>
      <c r="B71" s="1" t="n">
        <v>45952.67300925926</v>
      </c>
      <c r="C71" s="1" t="n">
        <v>46011</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43450-2022</t>
        </is>
      </c>
      <c r="B72" s="1" t="n">
        <v>44835</v>
      </c>
      <c r="C72" s="1" t="n">
        <v>46011</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1924-2025</t>
        </is>
      </c>
      <c r="B73" s="1" t="n">
        <v>45671.69804398148</v>
      </c>
      <c r="C73" s="1" t="n">
        <v>46011</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48663-2025</t>
        </is>
      </c>
      <c r="B74" s="1" t="n">
        <v>45936.57228009259</v>
      </c>
      <c r="C74" s="1" t="n">
        <v>46011</v>
      </c>
      <c r="D74" t="inlineStr">
        <is>
          <t>VÄSTRA GÖTALANDS LÄN</t>
        </is>
      </c>
      <c r="E74" t="inlineStr">
        <is>
          <t>TRANEMO</t>
        </is>
      </c>
      <c r="G74" t="n">
        <v>1.9</v>
      </c>
      <c r="H74" t="n">
        <v>0</v>
      </c>
      <c r="I74" t="n">
        <v>4</v>
      </c>
      <c r="J74" t="n">
        <v>3</v>
      </c>
      <c r="K74" t="n">
        <v>0</v>
      </c>
      <c r="L74" t="n">
        <v>0</v>
      </c>
      <c r="M74" t="n">
        <v>0</v>
      </c>
      <c r="N74" t="n">
        <v>0</v>
      </c>
      <c r="O74" t="n">
        <v>3</v>
      </c>
      <c r="P74" t="n">
        <v>0</v>
      </c>
      <c r="Q74" t="n">
        <v>7</v>
      </c>
      <c r="R74" s="2" t="inlineStr">
        <is>
          <t>Brunpudrad nållav
Garnlav
Granticka
Kattfotslav
Kornknutmossa
Vedticka
Västlig hakmossa</t>
        </is>
      </c>
      <c r="S74">
        <f>HYPERLINK("https://klasma.github.io/Logging_1452/artfynd/A 48663-2025 artfynd.xlsx", "A 48663-2025")</f>
        <v/>
      </c>
      <c r="T74">
        <f>HYPERLINK("https://klasma.github.io/Logging_1452/kartor/A 48663-2025 karta.png", "A 48663-2025")</f>
        <v/>
      </c>
      <c r="V74">
        <f>HYPERLINK("https://klasma.github.io/Logging_1452/klagomål/A 48663-2025 FSC-klagomål.docx", "A 48663-2025")</f>
        <v/>
      </c>
      <c r="W74">
        <f>HYPERLINK("https://klasma.github.io/Logging_1452/klagomålsmail/A 48663-2025 FSC-klagomål mail.docx", "A 48663-2025")</f>
        <v/>
      </c>
      <c r="X74">
        <f>HYPERLINK("https://klasma.github.io/Logging_1452/tillsyn/A 48663-2025 tillsynsbegäran.docx", "A 48663-2025")</f>
        <v/>
      </c>
      <c r="Y74">
        <f>HYPERLINK("https://klasma.github.io/Logging_1452/tillsynsmail/A 48663-2025 tillsynsbegäran mail.docx", "A 48663-2025")</f>
        <v/>
      </c>
    </row>
    <row r="75" ht="15" customHeight="1">
      <c r="A75" t="inlineStr">
        <is>
          <t>A 25142-2021</t>
        </is>
      </c>
      <c r="B75" s="1" t="n">
        <v>44341.91210648148</v>
      </c>
      <c r="C75" s="1" t="n">
        <v>46011</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18326-2024</t>
        </is>
      </c>
      <c r="B76" s="1" t="n">
        <v>45422.55388888889</v>
      </c>
      <c r="C76" s="1" t="n">
        <v>46011</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60679-2023</t>
        </is>
      </c>
      <c r="B77" s="1" t="n">
        <v>45260.47730324074</v>
      </c>
      <c r="C77" s="1" t="n">
        <v>46011</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23017-2025</t>
        </is>
      </c>
      <c r="B78" s="1" t="n">
        <v>45790.64148148148</v>
      </c>
      <c r="C78" s="1" t="n">
        <v>46011</v>
      </c>
      <c r="D78" t="inlineStr">
        <is>
          <t>VÄSTRA GÖTALANDS LÄN</t>
        </is>
      </c>
      <c r="E78" t="inlineStr">
        <is>
          <t>DALS-ED</t>
        </is>
      </c>
      <c r="G78" t="n">
        <v>9.300000000000001</v>
      </c>
      <c r="H78" t="n">
        <v>2</v>
      </c>
      <c r="I78" t="n">
        <v>1</v>
      </c>
      <c r="J78" t="n">
        <v>5</v>
      </c>
      <c r="K78" t="n">
        <v>0</v>
      </c>
      <c r="L78" t="n">
        <v>0</v>
      </c>
      <c r="M78" t="n">
        <v>0</v>
      </c>
      <c r="N78" t="n">
        <v>0</v>
      </c>
      <c r="O78" t="n">
        <v>5</v>
      </c>
      <c r="P78" t="n">
        <v>0</v>
      </c>
      <c r="Q78" t="n">
        <v>7</v>
      </c>
      <c r="R78" s="2" t="inlineStr">
        <is>
          <t>Garnlav
Motaggsvamp
Tallticka
Tretåig hackspett
Vedskivlav
Dropptaggsvamp
Orre</t>
        </is>
      </c>
      <c r="S78">
        <f>HYPERLINK("https://klasma.github.io/Logging_1438/artfynd/A 23017-2025 artfynd.xlsx", "A 23017-2025")</f>
        <v/>
      </c>
      <c r="T78">
        <f>HYPERLINK("https://klasma.github.io/Logging_1438/kartor/A 23017-2025 karta.png", "A 23017-2025")</f>
        <v/>
      </c>
      <c r="V78">
        <f>HYPERLINK("https://klasma.github.io/Logging_1438/klagomål/A 23017-2025 FSC-klagomål.docx", "A 23017-2025")</f>
        <v/>
      </c>
      <c r="W78">
        <f>HYPERLINK("https://klasma.github.io/Logging_1438/klagomålsmail/A 23017-2025 FSC-klagomål mail.docx", "A 23017-2025")</f>
        <v/>
      </c>
      <c r="X78">
        <f>HYPERLINK("https://klasma.github.io/Logging_1438/tillsyn/A 23017-2025 tillsynsbegäran.docx", "A 23017-2025")</f>
        <v/>
      </c>
      <c r="Y78">
        <f>HYPERLINK("https://klasma.github.io/Logging_1438/tillsynsmail/A 23017-2025 tillsynsbegäran mail.docx", "A 23017-2025")</f>
        <v/>
      </c>
      <c r="Z78">
        <f>HYPERLINK("https://klasma.github.io/Logging_1438/fåglar/A 23017-2025 prioriterade fågelarter.docx", "A 23017-2025")</f>
        <v/>
      </c>
    </row>
    <row r="79" ht="15" customHeight="1">
      <c r="A79" t="inlineStr">
        <is>
          <t>A 11036-2025</t>
        </is>
      </c>
      <c r="B79" s="1" t="n">
        <v>45723.47996527778</v>
      </c>
      <c r="C79" s="1" t="n">
        <v>46011</v>
      </c>
      <c r="D79" t="inlineStr">
        <is>
          <t>VÄSTRA GÖTALANDS LÄN</t>
        </is>
      </c>
      <c r="E79" t="inlineStr">
        <is>
          <t>BENGTSFORS</t>
        </is>
      </c>
      <c r="G79" t="n">
        <v>5</v>
      </c>
      <c r="H79" t="n">
        <v>1</v>
      </c>
      <c r="I79" t="n">
        <v>6</v>
      </c>
      <c r="J79" t="n">
        <v>0</v>
      </c>
      <c r="K79" t="n">
        <v>0</v>
      </c>
      <c r="L79" t="n">
        <v>0</v>
      </c>
      <c r="M79" t="n">
        <v>0</v>
      </c>
      <c r="N79" t="n">
        <v>0</v>
      </c>
      <c r="O79" t="n">
        <v>0</v>
      </c>
      <c r="P79" t="n">
        <v>0</v>
      </c>
      <c r="Q79" t="n">
        <v>7</v>
      </c>
      <c r="R79" s="2" t="inlineStr">
        <is>
          <t>Grov fjädermossa
Grönpyrola
Platt fjädermossa
Svavelriska
Trubbfjädermossa
Vårärt
Blåsippa</t>
        </is>
      </c>
      <c r="S79">
        <f>HYPERLINK("https://klasma.github.io/Logging_1460/artfynd/A 11036-2025 artfynd.xlsx", "A 11036-2025")</f>
        <v/>
      </c>
      <c r="T79">
        <f>HYPERLINK("https://klasma.github.io/Logging_1460/kartor/A 11036-2025 karta.png", "A 11036-2025")</f>
        <v/>
      </c>
      <c r="V79">
        <f>HYPERLINK("https://klasma.github.io/Logging_1460/klagomål/A 11036-2025 FSC-klagomål.docx", "A 11036-2025")</f>
        <v/>
      </c>
      <c r="W79">
        <f>HYPERLINK("https://klasma.github.io/Logging_1460/klagomålsmail/A 11036-2025 FSC-klagomål mail.docx", "A 11036-2025")</f>
        <v/>
      </c>
      <c r="X79">
        <f>HYPERLINK("https://klasma.github.io/Logging_1460/tillsyn/A 11036-2025 tillsynsbegäran.docx", "A 11036-2025")</f>
        <v/>
      </c>
      <c r="Y79">
        <f>HYPERLINK("https://klasma.github.io/Logging_1460/tillsynsmail/A 11036-2025 tillsynsbegäran mail.docx", "A 11036-2025")</f>
        <v/>
      </c>
    </row>
    <row r="80" ht="15" customHeight="1">
      <c r="A80" t="inlineStr">
        <is>
          <t>A 48654-2021</t>
        </is>
      </c>
      <c r="B80" s="1" t="n">
        <v>44452</v>
      </c>
      <c r="C80" s="1" t="n">
        <v>46011</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33191-2022</t>
        </is>
      </c>
      <c r="B81" s="1" t="n">
        <v>44785</v>
      </c>
      <c r="C81" s="1" t="n">
        <v>46011</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68519-2021</t>
        </is>
      </c>
      <c r="B82" s="1" t="n">
        <v>44529</v>
      </c>
      <c r="C82" s="1" t="n">
        <v>46011</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563-2024</t>
        </is>
      </c>
      <c r="B83" s="1" t="n">
        <v>45299</v>
      </c>
      <c r="C83" s="1" t="n">
        <v>46011</v>
      </c>
      <c r="D83" t="inlineStr">
        <is>
          <t>VÄSTRA GÖTALANDS LÄN</t>
        </is>
      </c>
      <c r="E83" t="inlineStr">
        <is>
          <t>ALE</t>
        </is>
      </c>
      <c r="F83" t="inlineStr">
        <is>
          <t>Kyrkan</t>
        </is>
      </c>
      <c r="G83" t="n">
        <v>26</v>
      </c>
      <c r="H83" t="n">
        <v>4</v>
      </c>
      <c r="I83" t="n">
        <v>1</v>
      </c>
      <c r="J83" t="n">
        <v>3</v>
      </c>
      <c r="K83" t="n">
        <v>0</v>
      </c>
      <c r="L83" t="n">
        <v>0</v>
      </c>
      <c r="M83" t="n">
        <v>0</v>
      </c>
      <c r="N83" t="n">
        <v>0</v>
      </c>
      <c r="O83" t="n">
        <v>3</v>
      </c>
      <c r="P83" t="n">
        <v>0</v>
      </c>
      <c r="Q83" t="n">
        <v>6</v>
      </c>
      <c r="R83" s="2" t="inlineStr">
        <is>
          <t>Kortskaftad ärgspik
Spillkråka
Talltita
Björksplintborre
Tjäder
Revlummer</t>
        </is>
      </c>
      <c r="S83">
        <f>HYPERLINK("https://klasma.github.io/Logging_1440/artfynd/A 563-2024 artfynd.xlsx", "A 563-2024")</f>
        <v/>
      </c>
      <c r="T83">
        <f>HYPERLINK("https://klasma.github.io/Logging_1440/kartor/A 563-2024 karta.png", "A 563-2024")</f>
        <v/>
      </c>
      <c r="V83">
        <f>HYPERLINK("https://klasma.github.io/Logging_1440/klagomål/A 563-2024 FSC-klagomål.docx", "A 563-2024")</f>
        <v/>
      </c>
      <c r="W83">
        <f>HYPERLINK("https://klasma.github.io/Logging_1440/klagomålsmail/A 563-2024 FSC-klagomål mail.docx", "A 563-2024")</f>
        <v/>
      </c>
      <c r="X83">
        <f>HYPERLINK("https://klasma.github.io/Logging_1440/tillsyn/A 563-2024 tillsynsbegäran.docx", "A 563-2024")</f>
        <v/>
      </c>
      <c r="Y83">
        <f>HYPERLINK("https://klasma.github.io/Logging_1440/tillsynsmail/A 563-2024 tillsynsbegäran mail.docx", "A 563-2024")</f>
        <v/>
      </c>
      <c r="Z83">
        <f>HYPERLINK("https://klasma.github.io/Logging_1440/fåglar/A 563-2024 prioriterade fågelarter.docx", "A 563-2024")</f>
        <v/>
      </c>
    </row>
    <row r="84" ht="15" customHeight="1">
      <c r="A84" t="inlineStr">
        <is>
          <t>A 44635-2025</t>
        </is>
      </c>
      <c r="B84" s="1" t="n">
        <v>45917.49247685185</v>
      </c>
      <c r="C84" s="1" t="n">
        <v>46011</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12671-2023</t>
        </is>
      </c>
      <c r="B85" s="1" t="n">
        <v>45000</v>
      </c>
      <c r="C85" s="1" t="n">
        <v>46011</v>
      </c>
      <c r="D85" t="inlineStr">
        <is>
          <t>VÄSTRA GÖTALANDS LÄN</t>
        </is>
      </c>
      <c r="E85" t="inlineStr">
        <is>
          <t>TANUM</t>
        </is>
      </c>
      <c r="G85" t="n">
        <v>3.7</v>
      </c>
      <c r="H85" t="n">
        <v>5</v>
      </c>
      <c r="I85" t="n">
        <v>1</v>
      </c>
      <c r="J85" t="n">
        <v>3</v>
      </c>
      <c r="K85" t="n">
        <v>0</v>
      </c>
      <c r="L85" t="n">
        <v>0</v>
      </c>
      <c r="M85" t="n">
        <v>0</v>
      </c>
      <c r="N85" t="n">
        <v>0</v>
      </c>
      <c r="O85" t="n">
        <v>3</v>
      </c>
      <c r="P85" t="n">
        <v>0</v>
      </c>
      <c r="Q85" t="n">
        <v>6</v>
      </c>
      <c r="R85" s="2" t="inlineStr">
        <is>
          <t>Spillkråka
Talltita
Tretåig hackspett
Västlig hakmossa
Tjäder
Revlummer</t>
        </is>
      </c>
      <c r="S85">
        <f>HYPERLINK("https://klasma.github.io/Logging_1435/artfynd/A 12671-2023 artfynd.xlsx", "A 12671-2023")</f>
        <v/>
      </c>
      <c r="T85">
        <f>HYPERLINK("https://klasma.github.io/Logging_1435/kartor/A 12671-2023 karta.png", "A 12671-2023")</f>
        <v/>
      </c>
      <c r="V85">
        <f>HYPERLINK("https://klasma.github.io/Logging_1435/klagomål/A 12671-2023 FSC-klagomål.docx", "A 12671-2023")</f>
        <v/>
      </c>
      <c r="W85">
        <f>HYPERLINK("https://klasma.github.io/Logging_1435/klagomålsmail/A 12671-2023 FSC-klagomål mail.docx", "A 12671-2023")</f>
        <v/>
      </c>
      <c r="X85">
        <f>HYPERLINK("https://klasma.github.io/Logging_1435/tillsyn/A 12671-2023 tillsynsbegäran.docx", "A 12671-2023")</f>
        <v/>
      </c>
      <c r="Y85">
        <f>HYPERLINK("https://klasma.github.io/Logging_1435/tillsynsmail/A 12671-2023 tillsynsbegäran mail.docx", "A 12671-2023")</f>
        <v/>
      </c>
      <c r="Z85">
        <f>HYPERLINK("https://klasma.github.io/Logging_1435/fåglar/A 12671-2023 prioriterade fågelarter.docx", "A 12671-2023")</f>
        <v/>
      </c>
    </row>
    <row r="86" ht="15" customHeight="1">
      <c r="A86" t="inlineStr">
        <is>
          <t>A 3648-2021</t>
        </is>
      </c>
      <c r="B86" s="1" t="n">
        <v>44221</v>
      </c>
      <c r="C86" s="1" t="n">
        <v>46011</v>
      </c>
      <c r="D86" t="inlineStr">
        <is>
          <t>VÄSTRA GÖTALANDS LÄN</t>
        </is>
      </c>
      <c r="E86" t="inlineStr">
        <is>
          <t>HÄRRYDA</t>
        </is>
      </c>
      <c r="G86" t="n">
        <v>4.5</v>
      </c>
      <c r="H86" t="n">
        <v>6</v>
      </c>
      <c r="I86" t="n">
        <v>0</v>
      </c>
      <c r="J86" t="n">
        <v>2</v>
      </c>
      <c r="K86" t="n">
        <v>0</v>
      </c>
      <c r="L86" t="n">
        <v>0</v>
      </c>
      <c r="M86" t="n">
        <v>0</v>
      </c>
      <c r="N86" t="n">
        <v>0</v>
      </c>
      <c r="O86" t="n">
        <v>2</v>
      </c>
      <c r="P86" t="n">
        <v>0</v>
      </c>
      <c r="Q86" t="n">
        <v>6</v>
      </c>
      <c r="R86" s="2" t="inlineStr">
        <is>
          <t>Gulsparv
Nordfladdermus
Enkelbeckasin
Järnsparv
Vanlig groda
Vanlig padda</t>
        </is>
      </c>
      <c r="S86">
        <f>HYPERLINK("https://klasma.github.io/Logging_1401/artfynd/A 3648-2021 artfynd.xlsx", "A 3648-2021")</f>
        <v/>
      </c>
      <c r="T86">
        <f>HYPERLINK("https://klasma.github.io/Logging_1401/kartor/A 3648-2021 karta.png", "A 3648-2021")</f>
        <v/>
      </c>
      <c r="V86">
        <f>HYPERLINK("https://klasma.github.io/Logging_1401/klagomål/A 3648-2021 FSC-klagomål.docx", "A 3648-2021")</f>
        <v/>
      </c>
      <c r="W86">
        <f>HYPERLINK("https://klasma.github.io/Logging_1401/klagomålsmail/A 3648-2021 FSC-klagomål mail.docx", "A 3648-2021")</f>
        <v/>
      </c>
      <c r="X86">
        <f>HYPERLINK("https://klasma.github.io/Logging_1401/tillsyn/A 3648-2021 tillsynsbegäran.docx", "A 3648-2021")</f>
        <v/>
      </c>
      <c r="Y86">
        <f>HYPERLINK("https://klasma.github.io/Logging_1401/tillsynsmail/A 3648-2021 tillsynsbegäran mail.docx", "A 3648-2021")</f>
        <v/>
      </c>
      <c r="Z86">
        <f>HYPERLINK("https://klasma.github.io/Logging_1401/fåglar/A 3648-2021 prioriterade fågelarter.docx", "A 3648-2021")</f>
        <v/>
      </c>
    </row>
    <row r="87" ht="15" customHeight="1">
      <c r="A87" t="inlineStr">
        <is>
          <t>A 5141-2025</t>
        </is>
      </c>
      <c r="B87" s="1" t="n">
        <v>45691.58489583333</v>
      </c>
      <c r="C87" s="1" t="n">
        <v>46011</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62846-2023</t>
        </is>
      </c>
      <c r="B88" s="1" t="n">
        <v>45272</v>
      </c>
      <c r="C88" s="1" t="n">
        <v>46011</v>
      </c>
      <c r="D88" t="inlineStr">
        <is>
          <t>VÄSTRA GÖTALANDS LÄN</t>
        </is>
      </c>
      <c r="E88" t="inlineStr">
        <is>
          <t>LILLA EDET</t>
        </is>
      </c>
      <c r="G88" t="n">
        <v>3.4</v>
      </c>
      <c r="H88" t="n">
        <v>2</v>
      </c>
      <c r="I88" t="n">
        <v>4</v>
      </c>
      <c r="J88" t="n">
        <v>0</v>
      </c>
      <c r="K88" t="n">
        <v>0</v>
      </c>
      <c r="L88" t="n">
        <v>0</v>
      </c>
      <c r="M88" t="n">
        <v>0</v>
      </c>
      <c r="N88" t="n">
        <v>0</v>
      </c>
      <c r="O88" t="n">
        <v>0</v>
      </c>
      <c r="P88" t="n">
        <v>0</v>
      </c>
      <c r="Q88" t="n">
        <v>6</v>
      </c>
      <c r="R88" s="2" t="inlineStr">
        <is>
          <t>Blåmossa
Bronshjon
Stor revmossa
Vågbandad barkbock
Större vattensalamander
Revlummer</t>
        </is>
      </c>
      <c r="S88">
        <f>HYPERLINK("https://klasma.github.io/Logging_1462/artfynd/A 62846-2023 artfynd.xlsx", "A 62846-2023")</f>
        <v/>
      </c>
      <c r="T88">
        <f>HYPERLINK("https://klasma.github.io/Logging_1462/kartor/A 62846-2023 karta.png", "A 62846-2023")</f>
        <v/>
      </c>
      <c r="V88">
        <f>HYPERLINK("https://klasma.github.io/Logging_1462/klagomål/A 62846-2023 FSC-klagomål.docx", "A 62846-2023")</f>
        <v/>
      </c>
      <c r="W88">
        <f>HYPERLINK("https://klasma.github.io/Logging_1462/klagomålsmail/A 62846-2023 FSC-klagomål mail.docx", "A 62846-2023")</f>
        <v/>
      </c>
      <c r="X88">
        <f>HYPERLINK("https://klasma.github.io/Logging_1462/tillsyn/A 62846-2023 tillsynsbegäran.docx", "A 62846-2023")</f>
        <v/>
      </c>
      <c r="Y88">
        <f>HYPERLINK("https://klasma.github.io/Logging_1462/tillsynsmail/A 62846-2023 tillsynsbegäran mail.docx", "A 62846-2023")</f>
        <v/>
      </c>
    </row>
    <row r="89" ht="15" customHeight="1">
      <c r="A89" t="inlineStr">
        <is>
          <t>A 24162-2025</t>
        </is>
      </c>
      <c r="B89" s="1" t="n">
        <v>45796.66684027778</v>
      </c>
      <c r="C89" s="1" t="n">
        <v>46011</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31942-2023</t>
        </is>
      </c>
      <c r="B90" s="1" t="n">
        <v>45119.33660879629</v>
      </c>
      <c r="C90" s="1" t="n">
        <v>46011</v>
      </c>
      <c r="D90" t="inlineStr">
        <is>
          <t>VÄSTRA GÖTALANDS LÄN</t>
        </is>
      </c>
      <c r="E90" t="inlineStr">
        <is>
          <t>BORÅS</t>
        </is>
      </c>
      <c r="G90" t="n">
        <v>7.3</v>
      </c>
      <c r="H90" t="n">
        <v>4</v>
      </c>
      <c r="I90" t="n">
        <v>2</v>
      </c>
      <c r="J90" t="n">
        <v>3</v>
      </c>
      <c r="K90" t="n">
        <v>0</v>
      </c>
      <c r="L90" t="n">
        <v>0</v>
      </c>
      <c r="M90" t="n">
        <v>0</v>
      </c>
      <c r="N90" t="n">
        <v>0</v>
      </c>
      <c r="O90" t="n">
        <v>3</v>
      </c>
      <c r="P90" t="n">
        <v>0</v>
      </c>
      <c r="Q90" t="n">
        <v>6</v>
      </c>
      <c r="R90" s="2" t="inlineStr">
        <is>
          <t>Rödvingetrast
Spillkråka
Talltita
Björksplintborre
Stor revmossa
Tjäder</t>
        </is>
      </c>
      <c r="S90">
        <f>HYPERLINK("https://klasma.github.io/Logging_1490/artfynd/A 31942-2023 artfynd.xlsx", "A 31942-2023")</f>
        <v/>
      </c>
      <c r="T90">
        <f>HYPERLINK("https://klasma.github.io/Logging_1490/kartor/A 31942-2023 karta.png", "A 31942-2023")</f>
        <v/>
      </c>
      <c r="V90">
        <f>HYPERLINK("https://klasma.github.io/Logging_1490/klagomål/A 31942-2023 FSC-klagomål.docx", "A 31942-2023")</f>
        <v/>
      </c>
      <c r="W90">
        <f>HYPERLINK("https://klasma.github.io/Logging_1490/klagomålsmail/A 31942-2023 FSC-klagomål mail.docx", "A 31942-2023")</f>
        <v/>
      </c>
      <c r="X90">
        <f>HYPERLINK("https://klasma.github.io/Logging_1490/tillsyn/A 31942-2023 tillsynsbegäran.docx", "A 31942-2023")</f>
        <v/>
      </c>
      <c r="Y90">
        <f>HYPERLINK("https://klasma.github.io/Logging_1490/tillsynsmail/A 31942-2023 tillsynsbegäran mail.docx", "A 31942-2023")</f>
        <v/>
      </c>
      <c r="Z90">
        <f>HYPERLINK("https://klasma.github.io/Logging_1490/fåglar/A 31942-2023 prioriterade fågelarter.docx", "A 31942-2023")</f>
        <v/>
      </c>
    </row>
    <row r="91" ht="15" customHeight="1">
      <c r="A91" t="inlineStr">
        <is>
          <t>A 3427-2024</t>
        </is>
      </c>
      <c r="B91" s="1" t="n">
        <v>45317</v>
      </c>
      <c r="C91" s="1" t="n">
        <v>46011</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36225-2024</t>
        </is>
      </c>
      <c r="B92" s="1" t="n">
        <v>45534</v>
      </c>
      <c r="C92" s="1" t="n">
        <v>46011</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9226-2022</t>
        </is>
      </c>
      <c r="B93" s="1" t="n">
        <v>44616.34016203704</v>
      </c>
      <c r="C93" s="1" t="n">
        <v>46011</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22578-2021</t>
        </is>
      </c>
      <c r="B94" s="1" t="n">
        <v>44327</v>
      </c>
      <c r="C94" s="1" t="n">
        <v>46011</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44363-2023</t>
        </is>
      </c>
      <c r="B95" s="1" t="n">
        <v>45188</v>
      </c>
      <c r="C95" s="1" t="n">
        <v>46011</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32397-2021</t>
        </is>
      </c>
      <c r="B96" s="1" t="n">
        <v>44371</v>
      </c>
      <c r="C96" s="1" t="n">
        <v>46011</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46011</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10368-2025</t>
        </is>
      </c>
      <c r="B98" s="1" t="n">
        <v>45720.54828703704</v>
      </c>
      <c r="C98" s="1" t="n">
        <v>46011</v>
      </c>
      <c r="D98" t="inlineStr">
        <is>
          <t>VÄSTRA GÖTALANDS LÄN</t>
        </is>
      </c>
      <c r="E98" t="inlineStr">
        <is>
          <t>STRÖMSTAD</t>
        </is>
      </c>
      <c r="G98" t="n">
        <v>6.4</v>
      </c>
      <c r="H98" t="n">
        <v>5</v>
      </c>
      <c r="I98" t="n">
        <v>0</v>
      </c>
      <c r="J98" t="n">
        <v>4</v>
      </c>
      <c r="K98" t="n">
        <v>1</v>
      </c>
      <c r="L98" t="n">
        <v>0</v>
      </c>
      <c r="M98" t="n">
        <v>0</v>
      </c>
      <c r="N98" t="n">
        <v>0</v>
      </c>
      <c r="O98" t="n">
        <v>5</v>
      </c>
      <c r="P98" t="n">
        <v>1</v>
      </c>
      <c r="Q98" t="n">
        <v>6</v>
      </c>
      <c r="R98" s="2" t="inlineStr">
        <is>
          <t>Kricka
Desmeknopp
Gravand
Havsörn
Strandskata
Blåsippa</t>
        </is>
      </c>
      <c r="S98">
        <f>HYPERLINK("https://klasma.github.io/Logging_1486/artfynd/A 10368-2025 artfynd.xlsx", "A 10368-2025")</f>
        <v/>
      </c>
      <c r="T98">
        <f>HYPERLINK("https://klasma.github.io/Logging_1486/kartor/A 10368-2025 karta.png", "A 10368-2025")</f>
        <v/>
      </c>
      <c r="V98">
        <f>HYPERLINK("https://klasma.github.io/Logging_1486/klagomål/A 10368-2025 FSC-klagomål.docx", "A 10368-2025")</f>
        <v/>
      </c>
      <c r="W98">
        <f>HYPERLINK("https://klasma.github.io/Logging_1486/klagomålsmail/A 10368-2025 FSC-klagomål mail.docx", "A 10368-2025")</f>
        <v/>
      </c>
      <c r="X98">
        <f>HYPERLINK("https://klasma.github.io/Logging_1486/tillsyn/A 10368-2025 tillsynsbegäran.docx", "A 10368-2025")</f>
        <v/>
      </c>
      <c r="Y98">
        <f>HYPERLINK("https://klasma.github.io/Logging_1486/tillsynsmail/A 10368-2025 tillsynsbegäran mail.docx", "A 10368-2025")</f>
        <v/>
      </c>
      <c r="Z98">
        <f>HYPERLINK("https://klasma.github.io/Logging_1486/fåglar/A 10368-2025 prioriterade fågelarter.docx", "A 10368-2025")</f>
        <v/>
      </c>
    </row>
    <row r="99" ht="15" customHeight="1">
      <c r="A99" t="inlineStr">
        <is>
          <t>A 45174-2021</t>
        </is>
      </c>
      <c r="B99" s="1" t="n">
        <v>44439</v>
      </c>
      <c r="C99" s="1" t="n">
        <v>46011</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46011</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46011</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40237-2025</t>
        </is>
      </c>
      <c r="B102" s="1" t="n">
        <v>45894.76184027778</v>
      </c>
      <c r="C102" s="1" t="n">
        <v>46011</v>
      </c>
      <c r="D102" t="inlineStr">
        <is>
          <t>VÄSTRA GÖTALANDS LÄN</t>
        </is>
      </c>
      <c r="E102" t="inlineStr">
        <is>
          <t>BENGTSFORS</t>
        </is>
      </c>
      <c r="G102" t="n">
        <v>2.2</v>
      </c>
      <c r="H102" t="n">
        <v>0</v>
      </c>
      <c r="I102" t="n">
        <v>5</v>
      </c>
      <c r="J102" t="n">
        <v>0</v>
      </c>
      <c r="K102" t="n">
        <v>0</v>
      </c>
      <c r="L102" t="n">
        <v>0</v>
      </c>
      <c r="M102" t="n">
        <v>0</v>
      </c>
      <c r="N102" t="n">
        <v>0</v>
      </c>
      <c r="O102" t="n">
        <v>0</v>
      </c>
      <c r="P102" t="n">
        <v>0</v>
      </c>
      <c r="Q102" t="n">
        <v>5</v>
      </c>
      <c r="R102" s="2" t="inlineStr">
        <is>
          <t>Brun klibbskivling
Fjällig taggsvamp s.str.
Guldkremla
Svart trolldruva
Svavelriska</t>
        </is>
      </c>
      <c r="S102">
        <f>HYPERLINK("https://klasma.github.io/Logging_1460/artfynd/A 40237-2025 artfynd.xlsx", "A 40237-2025")</f>
        <v/>
      </c>
      <c r="T102">
        <f>HYPERLINK("https://klasma.github.io/Logging_1460/kartor/A 40237-2025 karta.png", "A 40237-2025")</f>
        <v/>
      </c>
      <c r="V102">
        <f>HYPERLINK("https://klasma.github.io/Logging_1460/klagomål/A 40237-2025 FSC-klagomål.docx", "A 40237-2025")</f>
        <v/>
      </c>
      <c r="W102">
        <f>HYPERLINK("https://klasma.github.io/Logging_1460/klagomålsmail/A 40237-2025 FSC-klagomål mail.docx", "A 40237-2025")</f>
        <v/>
      </c>
      <c r="X102">
        <f>HYPERLINK("https://klasma.github.io/Logging_1460/tillsyn/A 40237-2025 tillsynsbegäran.docx", "A 40237-2025")</f>
        <v/>
      </c>
      <c r="Y102">
        <f>HYPERLINK("https://klasma.github.io/Logging_1460/tillsynsmail/A 40237-2025 tillsynsbegäran mail.docx", "A 40237-2025")</f>
        <v/>
      </c>
    </row>
    <row r="103" ht="15" customHeight="1">
      <c r="A103" t="inlineStr">
        <is>
          <t>A 34396-2023</t>
        </is>
      </c>
      <c r="B103" s="1" t="n">
        <v>45139</v>
      </c>
      <c r="C103" s="1" t="n">
        <v>46011</v>
      </c>
      <c r="D103" t="inlineStr">
        <is>
          <t>VÄSTRA GÖTALANDS LÄN</t>
        </is>
      </c>
      <c r="E103" t="inlineStr">
        <is>
          <t>LILLA EDET</t>
        </is>
      </c>
      <c r="G103" t="n">
        <v>7</v>
      </c>
      <c r="H103" t="n">
        <v>2</v>
      </c>
      <c r="I103" t="n">
        <v>3</v>
      </c>
      <c r="J103" t="n">
        <v>1</v>
      </c>
      <c r="K103" t="n">
        <v>0</v>
      </c>
      <c r="L103" t="n">
        <v>0</v>
      </c>
      <c r="M103" t="n">
        <v>0</v>
      </c>
      <c r="N103" t="n">
        <v>0</v>
      </c>
      <c r="O103" t="n">
        <v>1</v>
      </c>
      <c r="P103" t="n">
        <v>0</v>
      </c>
      <c r="Q103" t="n">
        <v>5</v>
      </c>
      <c r="R103" s="2" t="inlineStr">
        <is>
          <t>Spillkråka
Björksplintborre
Kambräken
Västlig hakmossa
Revlummer</t>
        </is>
      </c>
      <c r="S103">
        <f>HYPERLINK("https://klasma.github.io/Logging_1462/artfynd/A 34396-2023 artfynd.xlsx", "A 34396-2023")</f>
        <v/>
      </c>
      <c r="T103">
        <f>HYPERLINK("https://klasma.github.io/Logging_1462/kartor/A 34396-2023 karta.png", "A 34396-2023")</f>
        <v/>
      </c>
      <c r="V103">
        <f>HYPERLINK("https://klasma.github.io/Logging_1462/klagomål/A 34396-2023 FSC-klagomål.docx", "A 34396-2023")</f>
        <v/>
      </c>
      <c r="W103">
        <f>HYPERLINK("https://klasma.github.io/Logging_1462/klagomålsmail/A 34396-2023 FSC-klagomål mail.docx", "A 34396-2023")</f>
        <v/>
      </c>
      <c r="X103">
        <f>HYPERLINK("https://klasma.github.io/Logging_1462/tillsyn/A 34396-2023 tillsynsbegäran.docx", "A 34396-2023")</f>
        <v/>
      </c>
      <c r="Y103">
        <f>HYPERLINK("https://klasma.github.io/Logging_1462/tillsynsmail/A 34396-2023 tillsynsbegäran mail.docx", "A 34396-2023")</f>
        <v/>
      </c>
      <c r="Z103">
        <f>HYPERLINK("https://klasma.github.io/Logging_1462/fåglar/A 34396-2023 prioriterade fågelarter.docx", "A 34396-2023")</f>
        <v/>
      </c>
    </row>
    <row r="104" ht="15" customHeight="1">
      <c r="A104" t="inlineStr">
        <is>
          <t>A 20830-2025</t>
        </is>
      </c>
      <c r="B104" s="1" t="n">
        <v>45776</v>
      </c>
      <c r="C104" s="1" t="n">
        <v>46011</v>
      </c>
      <c r="D104" t="inlineStr">
        <is>
          <t>VÄSTRA GÖTALANDS LÄN</t>
        </is>
      </c>
      <c r="E104" t="inlineStr">
        <is>
          <t>KARLSBORG</t>
        </is>
      </c>
      <c r="G104" t="n">
        <v>5.6</v>
      </c>
      <c r="H104" t="n">
        <v>3</v>
      </c>
      <c r="I104" t="n">
        <v>1</v>
      </c>
      <c r="J104" t="n">
        <v>3</v>
      </c>
      <c r="K104" t="n">
        <v>1</v>
      </c>
      <c r="L104" t="n">
        <v>0</v>
      </c>
      <c r="M104" t="n">
        <v>0</v>
      </c>
      <c r="N104" t="n">
        <v>0</v>
      </c>
      <c r="O104" t="n">
        <v>4</v>
      </c>
      <c r="P104" t="n">
        <v>1</v>
      </c>
      <c r="Q104" t="n">
        <v>5</v>
      </c>
      <c r="R104" s="2" t="inlineStr">
        <is>
          <t>Knärot
Spillkråka
Tallticka
Tretåig hackspett
Kattfotslav</t>
        </is>
      </c>
      <c r="S104">
        <f>HYPERLINK("https://klasma.github.io/Logging_1446/artfynd/A 20830-2025 artfynd.xlsx", "A 20830-2025")</f>
        <v/>
      </c>
      <c r="T104">
        <f>HYPERLINK("https://klasma.github.io/Logging_1446/kartor/A 20830-2025 karta.png", "A 20830-2025")</f>
        <v/>
      </c>
      <c r="U104">
        <f>HYPERLINK("https://klasma.github.io/Logging_1446/knärot/A 20830-2025 karta knärot.png", "A 20830-2025")</f>
        <v/>
      </c>
      <c r="V104">
        <f>HYPERLINK("https://klasma.github.io/Logging_1446/klagomål/A 20830-2025 FSC-klagomål.docx", "A 20830-2025")</f>
        <v/>
      </c>
      <c r="W104">
        <f>HYPERLINK("https://klasma.github.io/Logging_1446/klagomålsmail/A 20830-2025 FSC-klagomål mail.docx", "A 20830-2025")</f>
        <v/>
      </c>
      <c r="X104">
        <f>HYPERLINK("https://klasma.github.io/Logging_1446/tillsyn/A 20830-2025 tillsynsbegäran.docx", "A 20830-2025")</f>
        <v/>
      </c>
      <c r="Y104">
        <f>HYPERLINK("https://klasma.github.io/Logging_1446/tillsynsmail/A 20830-2025 tillsynsbegäran mail.docx", "A 20830-2025")</f>
        <v/>
      </c>
      <c r="Z104">
        <f>HYPERLINK("https://klasma.github.io/Logging_1446/fåglar/A 20830-2025 prioriterade fågelarter.docx", "A 20830-2025")</f>
        <v/>
      </c>
    </row>
    <row r="105" ht="15" customHeight="1">
      <c r="A105" t="inlineStr">
        <is>
          <t>A 32950-2025</t>
        </is>
      </c>
      <c r="B105" s="1" t="n">
        <v>45839.68944444445</v>
      </c>
      <c r="C105" s="1" t="n">
        <v>46011</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30609-2025</t>
        </is>
      </c>
      <c r="B106" s="1" t="n">
        <v>45831</v>
      </c>
      <c r="C106" s="1" t="n">
        <v>46011</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2975-2022</t>
        </is>
      </c>
      <c r="B107" s="1" t="n">
        <v>44581</v>
      </c>
      <c r="C107" s="1" t="n">
        <v>46011</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24984-2025</t>
        </is>
      </c>
      <c r="B108" s="1" t="n">
        <v>45799.60240740741</v>
      </c>
      <c r="C108" s="1" t="n">
        <v>46011</v>
      </c>
      <c r="D108" t="inlineStr">
        <is>
          <t>VÄSTRA GÖTALANDS LÄN</t>
        </is>
      </c>
      <c r="E108" t="inlineStr">
        <is>
          <t>TANUM</t>
        </is>
      </c>
      <c r="G108" t="n">
        <v>1.2</v>
      </c>
      <c r="H108" t="n">
        <v>3</v>
      </c>
      <c r="I108" t="n">
        <v>2</v>
      </c>
      <c r="J108" t="n">
        <v>2</v>
      </c>
      <c r="K108" t="n">
        <v>1</v>
      </c>
      <c r="L108" t="n">
        <v>0</v>
      </c>
      <c r="M108" t="n">
        <v>0</v>
      </c>
      <c r="N108" t="n">
        <v>0</v>
      </c>
      <c r="O108" t="n">
        <v>3</v>
      </c>
      <c r="P108" t="n">
        <v>1</v>
      </c>
      <c r="Q108" t="n">
        <v>5</v>
      </c>
      <c r="R108" s="2" t="inlineStr">
        <is>
          <t>Knärot
Spillkråka
Tretåig hackspett
Rävticka
Stor revmossa</t>
        </is>
      </c>
      <c r="S108">
        <f>HYPERLINK("https://klasma.github.io/Logging_1435/artfynd/A 24984-2025 artfynd.xlsx", "A 24984-2025")</f>
        <v/>
      </c>
      <c r="T108">
        <f>HYPERLINK("https://klasma.github.io/Logging_1435/kartor/A 24984-2025 karta.png", "A 24984-2025")</f>
        <v/>
      </c>
      <c r="U108">
        <f>HYPERLINK("https://klasma.github.io/Logging_1435/knärot/A 24984-2025 karta knärot.png", "A 24984-2025")</f>
        <v/>
      </c>
      <c r="V108">
        <f>HYPERLINK("https://klasma.github.io/Logging_1435/klagomål/A 24984-2025 FSC-klagomål.docx", "A 24984-2025")</f>
        <v/>
      </c>
      <c r="W108">
        <f>HYPERLINK("https://klasma.github.io/Logging_1435/klagomålsmail/A 24984-2025 FSC-klagomål mail.docx", "A 24984-2025")</f>
        <v/>
      </c>
      <c r="X108">
        <f>HYPERLINK("https://klasma.github.io/Logging_1435/tillsyn/A 24984-2025 tillsynsbegäran.docx", "A 24984-2025")</f>
        <v/>
      </c>
      <c r="Y108">
        <f>HYPERLINK("https://klasma.github.io/Logging_1435/tillsynsmail/A 24984-2025 tillsynsbegäran mail.docx", "A 24984-2025")</f>
        <v/>
      </c>
      <c r="Z108">
        <f>HYPERLINK("https://klasma.github.io/Logging_1435/fåglar/A 24984-2025 prioriterade fågelarter.docx", "A 24984-2025")</f>
        <v/>
      </c>
    </row>
    <row r="109" ht="15" customHeight="1">
      <c r="A109" t="inlineStr">
        <is>
          <t>A 35495-2025</t>
        </is>
      </c>
      <c r="B109" s="1" t="n">
        <v>45855.94373842593</v>
      </c>
      <c r="C109" s="1" t="n">
        <v>46011</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59265-2024</t>
        </is>
      </c>
      <c r="B110" s="1" t="n">
        <v>45637.60655092593</v>
      </c>
      <c r="C110" s="1" t="n">
        <v>46011</v>
      </c>
      <c r="D110" t="inlineStr">
        <is>
          <t>VÄSTRA GÖTALANDS LÄN</t>
        </is>
      </c>
      <c r="E110" t="inlineStr">
        <is>
          <t>TANUM</t>
        </is>
      </c>
      <c r="G110" t="n">
        <v>8.5</v>
      </c>
      <c r="H110" t="n">
        <v>3</v>
      </c>
      <c r="I110" t="n">
        <v>2</v>
      </c>
      <c r="J110" t="n">
        <v>3</v>
      </c>
      <c r="K110" t="n">
        <v>0</v>
      </c>
      <c r="L110" t="n">
        <v>0</v>
      </c>
      <c r="M110" t="n">
        <v>0</v>
      </c>
      <c r="N110" t="n">
        <v>0</v>
      </c>
      <c r="O110" t="n">
        <v>3</v>
      </c>
      <c r="P110" t="n">
        <v>0</v>
      </c>
      <c r="Q110" t="n">
        <v>5</v>
      </c>
      <c r="R110" s="2" t="inlineStr">
        <is>
          <t>Grönsångare
Gulsparv
Svartvit flugsnappare
Dvärghäxört
Strutbräken</t>
        </is>
      </c>
      <c r="S110">
        <f>HYPERLINK("https://klasma.github.io/Logging_1435/artfynd/A 59265-2024 artfynd.xlsx", "A 59265-2024")</f>
        <v/>
      </c>
      <c r="T110">
        <f>HYPERLINK("https://klasma.github.io/Logging_1435/kartor/A 59265-2024 karta.png", "A 59265-2024")</f>
        <v/>
      </c>
      <c r="V110">
        <f>HYPERLINK("https://klasma.github.io/Logging_1435/klagomål/A 59265-2024 FSC-klagomål.docx", "A 59265-2024")</f>
        <v/>
      </c>
      <c r="W110">
        <f>HYPERLINK("https://klasma.github.io/Logging_1435/klagomålsmail/A 59265-2024 FSC-klagomål mail.docx", "A 59265-2024")</f>
        <v/>
      </c>
      <c r="X110">
        <f>HYPERLINK("https://klasma.github.io/Logging_1435/tillsyn/A 59265-2024 tillsynsbegäran.docx", "A 59265-2024")</f>
        <v/>
      </c>
      <c r="Y110">
        <f>HYPERLINK("https://klasma.github.io/Logging_1435/tillsynsmail/A 59265-2024 tillsynsbegäran mail.docx", "A 59265-2024")</f>
        <v/>
      </c>
      <c r="Z110">
        <f>HYPERLINK("https://klasma.github.io/Logging_1435/fåglar/A 59265-2024 prioriterade fågelarter.docx", "A 59265-2024")</f>
        <v/>
      </c>
    </row>
    <row r="111" ht="15" customHeight="1">
      <c r="A111" t="inlineStr">
        <is>
          <t>A 27271-2025</t>
        </is>
      </c>
      <c r="B111" s="1" t="n">
        <v>45812</v>
      </c>
      <c r="C111" s="1" t="n">
        <v>46011</v>
      </c>
      <c r="D111" t="inlineStr">
        <is>
          <t>VÄSTRA GÖTALANDS LÄN</t>
        </is>
      </c>
      <c r="E111" t="inlineStr">
        <is>
          <t>ALINGSÅS</t>
        </is>
      </c>
      <c r="G111" t="n">
        <v>8.800000000000001</v>
      </c>
      <c r="H111" t="n">
        <v>3</v>
      </c>
      <c r="I111" t="n">
        <v>0</v>
      </c>
      <c r="J111" t="n">
        <v>2</v>
      </c>
      <c r="K111" t="n">
        <v>1</v>
      </c>
      <c r="L111" t="n">
        <v>0</v>
      </c>
      <c r="M111" t="n">
        <v>0</v>
      </c>
      <c r="N111" t="n">
        <v>0</v>
      </c>
      <c r="O111" t="n">
        <v>3</v>
      </c>
      <c r="P111" t="n">
        <v>1</v>
      </c>
      <c r="Q111" t="n">
        <v>5</v>
      </c>
      <c r="R111" s="2" t="inlineStr">
        <is>
          <t>Flikbålmossa
Loppstarr
Spillkråka
Åkergroda
Äkta lopplummer</t>
        </is>
      </c>
      <c r="S111">
        <f>HYPERLINK("https://klasma.github.io/Logging_1489/artfynd/A 27271-2025 artfynd.xlsx", "A 27271-2025")</f>
        <v/>
      </c>
      <c r="T111">
        <f>HYPERLINK("https://klasma.github.io/Logging_1489/kartor/A 27271-2025 karta.png", "A 27271-2025")</f>
        <v/>
      </c>
      <c r="V111">
        <f>HYPERLINK("https://klasma.github.io/Logging_1489/klagomål/A 27271-2025 FSC-klagomål.docx", "A 27271-2025")</f>
        <v/>
      </c>
      <c r="W111">
        <f>HYPERLINK("https://klasma.github.io/Logging_1489/klagomålsmail/A 27271-2025 FSC-klagomål mail.docx", "A 27271-2025")</f>
        <v/>
      </c>
      <c r="X111">
        <f>HYPERLINK("https://klasma.github.io/Logging_1489/tillsyn/A 27271-2025 tillsynsbegäran.docx", "A 27271-2025")</f>
        <v/>
      </c>
      <c r="Y111">
        <f>HYPERLINK("https://klasma.github.io/Logging_1489/tillsynsmail/A 27271-2025 tillsynsbegäran mail.docx", "A 27271-2025")</f>
        <v/>
      </c>
      <c r="Z111">
        <f>HYPERLINK("https://klasma.github.io/Logging_1489/fåglar/A 27271-2025 prioriterade fågelarter.docx", "A 27271-2025")</f>
        <v/>
      </c>
    </row>
    <row r="112" ht="15" customHeight="1">
      <c r="A112" t="inlineStr">
        <is>
          <t>A 3642-2021</t>
        </is>
      </c>
      <c r="B112" s="1" t="n">
        <v>44221</v>
      </c>
      <c r="C112" s="1" t="n">
        <v>46011</v>
      </c>
      <c r="D112" t="inlineStr">
        <is>
          <t>VÄSTRA GÖTALANDS LÄN</t>
        </is>
      </c>
      <c r="E112" t="inlineStr">
        <is>
          <t>HÄRRYDA</t>
        </is>
      </c>
      <c r="G112" t="n">
        <v>2.1</v>
      </c>
      <c r="H112" t="n">
        <v>4</v>
      </c>
      <c r="I112" t="n">
        <v>1</v>
      </c>
      <c r="J112" t="n">
        <v>1</v>
      </c>
      <c r="K112" t="n">
        <v>0</v>
      </c>
      <c r="L112" t="n">
        <v>0</v>
      </c>
      <c r="M112" t="n">
        <v>0</v>
      </c>
      <c r="N112" t="n">
        <v>0</v>
      </c>
      <c r="O112" t="n">
        <v>1</v>
      </c>
      <c r="P112" t="n">
        <v>0</v>
      </c>
      <c r="Q112" t="n">
        <v>5</v>
      </c>
      <c r="R112" s="2" t="inlineStr">
        <is>
          <t>Nordfladdermus
Vågbandad barkbock
Järnsparv
Kungsfågel
Revlummer</t>
        </is>
      </c>
      <c r="S112">
        <f>HYPERLINK("https://klasma.github.io/Logging_1401/artfynd/A 3642-2021 artfynd.xlsx", "A 3642-2021")</f>
        <v/>
      </c>
      <c r="T112">
        <f>HYPERLINK("https://klasma.github.io/Logging_1401/kartor/A 3642-2021 karta.png", "A 3642-2021")</f>
        <v/>
      </c>
      <c r="V112">
        <f>HYPERLINK("https://klasma.github.io/Logging_1401/klagomål/A 3642-2021 FSC-klagomål.docx", "A 3642-2021")</f>
        <v/>
      </c>
      <c r="W112">
        <f>HYPERLINK("https://klasma.github.io/Logging_1401/klagomålsmail/A 3642-2021 FSC-klagomål mail.docx", "A 3642-2021")</f>
        <v/>
      </c>
      <c r="X112">
        <f>HYPERLINK("https://klasma.github.io/Logging_1401/tillsyn/A 3642-2021 tillsynsbegäran.docx", "A 3642-2021")</f>
        <v/>
      </c>
      <c r="Y112">
        <f>HYPERLINK("https://klasma.github.io/Logging_1401/tillsynsmail/A 3642-2021 tillsynsbegäran mail.docx", "A 3642-2021")</f>
        <v/>
      </c>
      <c r="Z112">
        <f>HYPERLINK("https://klasma.github.io/Logging_1401/fåglar/A 3642-2021 prioriterade fågelarter.docx", "A 3642-2021")</f>
        <v/>
      </c>
    </row>
    <row r="113" ht="15" customHeight="1">
      <c r="A113" t="inlineStr">
        <is>
          <t>A 27703-2023</t>
        </is>
      </c>
      <c r="B113" s="1" t="n">
        <v>45098</v>
      </c>
      <c r="C113" s="1" t="n">
        <v>46011</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2457-2022</t>
        </is>
      </c>
      <c r="B114" s="1" t="n">
        <v>44579</v>
      </c>
      <c r="C114" s="1" t="n">
        <v>46011</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27085-2024</t>
        </is>
      </c>
      <c r="B115" s="1" t="n">
        <v>45471</v>
      </c>
      <c r="C115" s="1" t="n">
        <v>46011</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14860-2025</t>
        </is>
      </c>
      <c r="B116" s="1" t="n">
        <v>45743</v>
      </c>
      <c r="C116" s="1" t="n">
        <v>46011</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412-2023</t>
        </is>
      </c>
      <c r="B117" s="1" t="n">
        <v>44929</v>
      </c>
      <c r="C117" s="1" t="n">
        <v>46011</v>
      </c>
      <c r="D117" t="inlineStr">
        <is>
          <t>VÄSTRA GÖTALANDS LÄN</t>
        </is>
      </c>
      <c r="E117" t="inlineStr">
        <is>
          <t>KARLSBORG</t>
        </is>
      </c>
      <c r="G117" t="n">
        <v>8.6</v>
      </c>
      <c r="H117" t="n">
        <v>0</v>
      </c>
      <c r="I117" t="n">
        <v>2</v>
      </c>
      <c r="J117" t="n">
        <v>2</v>
      </c>
      <c r="K117" t="n">
        <v>1</v>
      </c>
      <c r="L117" t="n">
        <v>0</v>
      </c>
      <c r="M117" t="n">
        <v>0</v>
      </c>
      <c r="N117" t="n">
        <v>0</v>
      </c>
      <c r="O117" t="n">
        <v>3</v>
      </c>
      <c r="P117" t="n">
        <v>1</v>
      </c>
      <c r="Q117" t="n">
        <v>5</v>
      </c>
      <c r="R117" s="2" t="inlineStr">
        <is>
          <t>Lakritsmusseron
Dofttaggsvamp
Motaggsvamp
Dropptaggsvamp
Zontaggsvamp</t>
        </is>
      </c>
      <c r="S117">
        <f>HYPERLINK("https://klasma.github.io/Logging_1446/artfynd/A 412-2023 artfynd.xlsx", "A 412-2023")</f>
        <v/>
      </c>
      <c r="T117">
        <f>HYPERLINK("https://klasma.github.io/Logging_1446/kartor/A 412-2023 karta.png", "A 412-2023")</f>
        <v/>
      </c>
      <c r="V117">
        <f>HYPERLINK("https://klasma.github.io/Logging_1446/klagomål/A 412-2023 FSC-klagomål.docx", "A 412-2023")</f>
        <v/>
      </c>
      <c r="W117">
        <f>HYPERLINK("https://klasma.github.io/Logging_1446/klagomålsmail/A 412-2023 FSC-klagomål mail.docx", "A 412-2023")</f>
        <v/>
      </c>
      <c r="X117">
        <f>HYPERLINK("https://klasma.github.io/Logging_1446/tillsyn/A 412-2023 tillsynsbegäran.docx", "A 412-2023")</f>
        <v/>
      </c>
      <c r="Y117">
        <f>HYPERLINK("https://klasma.github.io/Logging_1446/tillsynsmail/A 412-2023 tillsynsbegäran mail.docx", "A 412-2023")</f>
        <v/>
      </c>
    </row>
    <row r="118" ht="15" customHeight="1">
      <c r="A118" t="inlineStr">
        <is>
          <t>A 50109-2025</t>
        </is>
      </c>
      <c r="B118" s="1" t="n">
        <v>45943</v>
      </c>
      <c r="C118" s="1" t="n">
        <v>46011</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45158-2023</t>
        </is>
      </c>
      <c r="B119" s="1" t="n">
        <v>45191.48938657407</v>
      </c>
      <c r="C119" s="1" t="n">
        <v>46011</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29688-2023</t>
        </is>
      </c>
      <c r="B120" s="1" t="n">
        <v>45107</v>
      </c>
      <c r="C120" s="1" t="n">
        <v>46011</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
Ängsvaxskivling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56290-2025</t>
        </is>
      </c>
      <c r="B121" s="1" t="n">
        <v>45974.59738425926</v>
      </c>
      <c r="C121" s="1" t="n">
        <v>46011</v>
      </c>
      <c r="D121" t="inlineStr">
        <is>
          <t>VÄSTRA GÖTALANDS LÄN</t>
        </is>
      </c>
      <c r="E121" t="inlineStr">
        <is>
          <t>TJÖRN</t>
        </is>
      </c>
      <c r="G121" t="n">
        <v>8</v>
      </c>
      <c r="H121" t="n">
        <v>3</v>
      </c>
      <c r="I121" t="n">
        <v>2</v>
      </c>
      <c r="J121" t="n">
        <v>2</v>
      </c>
      <c r="K121" t="n">
        <v>0</v>
      </c>
      <c r="L121" t="n">
        <v>0</v>
      </c>
      <c r="M121" t="n">
        <v>0</v>
      </c>
      <c r="N121" t="n">
        <v>0</v>
      </c>
      <c r="O121" t="n">
        <v>2</v>
      </c>
      <c r="P121" t="n">
        <v>0</v>
      </c>
      <c r="Q121" t="n">
        <v>5</v>
      </c>
      <c r="R121" s="2" t="inlineStr">
        <is>
          <t>Mindre hackspett
Spillkråka
Kambräken
Stor revmossa
Revlummer</t>
        </is>
      </c>
      <c r="S121">
        <f>HYPERLINK("https://klasma.github.io/Logging_1419/artfynd/A 56290-2025 artfynd.xlsx", "A 56290-2025")</f>
        <v/>
      </c>
      <c r="T121">
        <f>HYPERLINK("https://klasma.github.io/Logging_1419/kartor/A 56290-2025 karta.png", "A 56290-2025")</f>
        <v/>
      </c>
      <c r="V121">
        <f>HYPERLINK("https://klasma.github.io/Logging_1419/klagomål/A 56290-2025 FSC-klagomål.docx", "A 56290-2025")</f>
        <v/>
      </c>
      <c r="W121">
        <f>HYPERLINK("https://klasma.github.io/Logging_1419/klagomålsmail/A 56290-2025 FSC-klagomål mail.docx", "A 56290-2025")</f>
        <v/>
      </c>
      <c r="X121">
        <f>HYPERLINK("https://klasma.github.io/Logging_1419/tillsyn/A 56290-2025 tillsynsbegäran.docx", "A 56290-2025")</f>
        <v/>
      </c>
      <c r="Y121">
        <f>HYPERLINK("https://klasma.github.io/Logging_1419/tillsynsmail/A 56290-2025 tillsynsbegäran mail.docx", "A 56290-2025")</f>
        <v/>
      </c>
      <c r="Z121">
        <f>HYPERLINK("https://klasma.github.io/Logging_1419/fåglar/A 56290-2025 prioriterade fågelarter.docx", "A 56290-2025")</f>
        <v/>
      </c>
    </row>
    <row r="122" ht="15" customHeight="1">
      <c r="A122" t="inlineStr">
        <is>
          <t>A 12353-2022</t>
        </is>
      </c>
      <c r="B122" s="1" t="n">
        <v>44637.65760416666</v>
      </c>
      <c r="C122" s="1" t="n">
        <v>46011</v>
      </c>
      <c r="D122" t="inlineStr">
        <is>
          <t>VÄSTRA GÖTALANDS LÄN</t>
        </is>
      </c>
      <c r="E122" t="inlineStr">
        <is>
          <t>TIDAHOLM</t>
        </is>
      </c>
      <c r="F122" t="inlineStr">
        <is>
          <t>Kommuner</t>
        </is>
      </c>
      <c r="G122" t="n">
        <v>4.1</v>
      </c>
      <c r="H122" t="n">
        <v>0</v>
      </c>
      <c r="I122" t="n">
        <v>4</v>
      </c>
      <c r="J122" t="n">
        <v>1</v>
      </c>
      <c r="K122" t="n">
        <v>0</v>
      </c>
      <c r="L122" t="n">
        <v>0</v>
      </c>
      <c r="M122" t="n">
        <v>0</v>
      </c>
      <c r="N122" t="n">
        <v>0</v>
      </c>
      <c r="O122" t="n">
        <v>1</v>
      </c>
      <c r="P122" t="n">
        <v>0</v>
      </c>
      <c r="Q122" t="n">
        <v>5</v>
      </c>
      <c r="R122" s="2" t="inlineStr">
        <is>
          <t>Mörk dunört
Blåmossa
Bågpraktmossa
Kornknutmossa
Skogsbräsma</t>
        </is>
      </c>
      <c r="S122">
        <f>HYPERLINK("https://klasma.github.io/Logging_1498/artfynd/A 12353-2022 artfynd.xlsx", "A 12353-2022")</f>
        <v/>
      </c>
      <c r="T122">
        <f>HYPERLINK("https://klasma.github.io/Logging_1498/kartor/A 12353-2022 karta.png", "A 12353-2022")</f>
        <v/>
      </c>
      <c r="V122">
        <f>HYPERLINK("https://klasma.github.io/Logging_1498/klagomål/A 12353-2022 FSC-klagomål.docx", "A 12353-2022")</f>
        <v/>
      </c>
      <c r="W122">
        <f>HYPERLINK("https://klasma.github.io/Logging_1498/klagomålsmail/A 12353-2022 FSC-klagomål mail.docx", "A 12353-2022")</f>
        <v/>
      </c>
      <c r="X122">
        <f>HYPERLINK("https://klasma.github.io/Logging_1498/tillsyn/A 12353-2022 tillsynsbegäran.docx", "A 12353-2022")</f>
        <v/>
      </c>
      <c r="Y122">
        <f>HYPERLINK("https://klasma.github.io/Logging_1498/tillsynsmail/A 12353-2022 tillsynsbegäran mail.docx", "A 12353-2022")</f>
        <v/>
      </c>
    </row>
    <row r="123" ht="15" customHeight="1">
      <c r="A123" t="inlineStr">
        <is>
          <t>A 22468-2021</t>
        </is>
      </c>
      <c r="B123" s="1" t="n">
        <v>44326.68740740741</v>
      </c>
      <c r="C123" s="1" t="n">
        <v>46011</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4921-2021</t>
        </is>
      </c>
      <c r="B124" s="1" t="n">
        <v>44226</v>
      </c>
      <c r="C124" s="1" t="n">
        <v>46011</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2165-2021</t>
        </is>
      </c>
      <c r="B125" s="1" t="n">
        <v>44210</v>
      </c>
      <c r="C125" s="1" t="n">
        <v>46011</v>
      </c>
      <c r="D125" t="inlineStr">
        <is>
          <t>VÄSTRA GÖTALANDS LÄN</t>
        </is>
      </c>
      <c r="E125" t="inlineStr">
        <is>
          <t>UDDEVALLA</t>
        </is>
      </c>
      <c r="G125" t="n">
        <v>2.7</v>
      </c>
      <c r="H125" t="n">
        <v>5</v>
      </c>
      <c r="I125" t="n">
        <v>0</v>
      </c>
      <c r="J125" t="n">
        <v>2</v>
      </c>
      <c r="K125" t="n">
        <v>0</v>
      </c>
      <c r="L125" t="n">
        <v>0</v>
      </c>
      <c r="M125" t="n">
        <v>0</v>
      </c>
      <c r="N125" t="n">
        <v>0</v>
      </c>
      <c r="O125" t="n">
        <v>2</v>
      </c>
      <c r="P125" t="n">
        <v>0</v>
      </c>
      <c r="Q125" t="n">
        <v>5</v>
      </c>
      <c r="R125" s="2" t="inlineStr">
        <is>
          <t>Entita
Ärtsångare
Gröngöling
Järnsparv
Kungsfågel</t>
        </is>
      </c>
      <c r="S125">
        <f>HYPERLINK("https://klasma.github.io/Logging_1485/artfynd/A 2165-2021 artfynd.xlsx", "A 2165-2021")</f>
        <v/>
      </c>
      <c r="T125">
        <f>HYPERLINK("https://klasma.github.io/Logging_1485/kartor/A 2165-2021 karta.png", "A 2165-2021")</f>
        <v/>
      </c>
      <c r="V125">
        <f>HYPERLINK("https://klasma.github.io/Logging_1485/klagomål/A 2165-2021 FSC-klagomål.docx", "A 2165-2021")</f>
        <v/>
      </c>
      <c r="W125">
        <f>HYPERLINK("https://klasma.github.io/Logging_1485/klagomålsmail/A 2165-2021 FSC-klagomål mail.docx", "A 2165-2021")</f>
        <v/>
      </c>
      <c r="X125">
        <f>HYPERLINK("https://klasma.github.io/Logging_1485/tillsyn/A 2165-2021 tillsynsbegäran.docx", "A 2165-2021")</f>
        <v/>
      </c>
      <c r="Y125">
        <f>HYPERLINK("https://klasma.github.io/Logging_1485/tillsynsmail/A 2165-2021 tillsynsbegäran mail.docx", "A 2165-2021")</f>
        <v/>
      </c>
      <c r="Z125">
        <f>HYPERLINK("https://klasma.github.io/Logging_1485/fåglar/A 2165-2021 prioriterade fågelarter.docx", "A 2165-2021")</f>
        <v/>
      </c>
    </row>
    <row r="126" ht="15" customHeight="1">
      <c r="A126" t="inlineStr">
        <is>
          <t>A 3607-2023</t>
        </is>
      </c>
      <c r="B126" s="1" t="n">
        <v>44950</v>
      </c>
      <c r="C126" s="1" t="n">
        <v>46011</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34725-2024</t>
        </is>
      </c>
      <c r="B127" s="1" t="n">
        <v>45526.57324074074</v>
      </c>
      <c r="C127" s="1" t="n">
        <v>46011</v>
      </c>
      <c r="D127" t="inlineStr">
        <is>
          <t>VÄSTRA GÖTALANDS LÄN</t>
        </is>
      </c>
      <c r="E127" t="inlineStr">
        <is>
          <t>KUNGÄLV</t>
        </is>
      </c>
      <c r="G127" t="n">
        <v>14.3</v>
      </c>
      <c r="H127" t="n">
        <v>3</v>
      </c>
      <c r="I127" t="n">
        <v>2</v>
      </c>
      <c r="J127" t="n">
        <v>2</v>
      </c>
      <c r="K127" t="n">
        <v>0</v>
      </c>
      <c r="L127" t="n">
        <v>0</v>
      </c>
      <c r="M127" t="n">
        <v>0</v>
      </c>
      <c r="N127" t="n">
        <v>0</v>
      </c>
      <c r="O127" t="n">
        <v>2</v>
      </c>
      <c r="P127" t="n">
        <v>0</v>
      </c>
      <c r="Q127" t="n">
        <v>5</v>
      </c>
      <c r="R127" s="2" t="inlineStr">
        <is>
          <t>Mindre hackspett
Spillkråka
Blåmossa
Stor revmossa
Kungsfågel</t>
        </is>
      </c>
      <c r="S127">
        <f>HYPERLINK("https://klasma.github.io/Logging_1482/artfynd/A 34725-2024 artfynd.xlsx", "A 34725-2024")</f>
        <v/>
      </c>
      <c r="T127">
        <f>HYPERLINK("https://klasma.github.io/Logging_1482/kartor/A 34725-2024 karta.png", "A 34725-2024")</f>
        <v/>
      </c>
      <c r="V127">
        <f>HYPERLINK("https://klasma.github.io/Logging_1482/klagomål/A 34725-2024 FSC-klagomål.docx", "A 34725-2024")</f>
        <v/>
      </c>
      <c r="W127">
        <f>HYPERLINK("https://klasma.github.io/Logging_1482/klagomålsmail/A 34725-2024 FSC-klagomål mail.docx", "A 34725-2024")</f>
        <v/>
      </c>
      <c r="X127">
        <f>HYPERLINK("https://klasma.github.io/Logging_1482/tillsyn/A 34725-2024 tillsynsbegäran.docx", "A 34725-2024")</f>
        <v/>
      </c>
      <c r="Y127">
        <f>HYPERLINK("https://klasma.github.io/Logging_1482/tillsynsmail/A 34725-2024 tillsynsbegäran mail.docx", "A 34725-2024")</f>
        <v/>
      </c>
      <c r="Z127">
        <f>HYPERLINK("https://klasma.github.io/Logging_1482/fåglar/A 34725-2024 prioriterade fågelarter.docx", "A 34725-2024")</f>
        <v/>
      </c>
    </row>
    <row r="128" ht="15" customHeight="1">
      <c r="A128" t="inlineStr">
        <is>
          <t>A 56530-2023</t>
        </is>
      </c>
      <c r="B128" s="1" t="n">
        <v>45243</v>
      </c>
      <c r="C128" s="1" t="n">
        <v>46011</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12131-2024</t>
        </is>
      </c>
      <c r="B129" s="1" t="n">
        <v>45377</v>
      </c>
      <c r="C129" s="1" t="n">
        <v>46011</v>
      </c>
      <c r="D129" t="inlineStr">
        <is>
          <t>VÄSTRA GÖTALANDS LÄN</t>
        </is>
      </c>
      <c r="E129" t="inlineStr">
        <is>
          <t>BOLLEBYGD</t>
        </is>
      </c>
      <c r="F129" t="inlineStr">
        <is>
          <t>Kommuner</t>
        </is>
      </c>
      <c r="G129" t="n">
        <v>2.1</v>
      </c>
      <c r="H129" t="n">
        <v>3</v>
      </c>
      <c r="I129" t="n">
        <v>2</v>
      </c>
      <c r="J129" t="n">
        <v>1</v>
      </c>
      <c r="K129" t="n">
        <v>0</v>
      </c>
      <c r="L129" t="n">
        <v>0</v>
      </c>
      <c r="M129" t="n">
        <v>0</v>
      </c>
      <c r="N129" t="n">
        <v>0</v>
      </c>
      <c r="O129" t="n">
        <v>1</v>
      </c>
      <c r="P129" t="n">
        <v>0</v>
      </c>
      <c r="Q129" t="n">
        <v>5</v>
      </c>
      <c r="R129" s="2" t="inlineStr">
        <is>
          <t>Talltita
Kattfotslav
Vedticka
Orre
Tjäder</t>
        </is>
      </c>
      <c r="S129">
        <f>HYPERLINK("https://klasma.github.io/Logging_1443/artfynd/A 12131-2024 artfynd.xlsx", "A 12131-2024")</f>
        <v/>
      </c>
      <c r="T129">
        <f>HYPERLINK("https://klasma.github.io/Logging_1443/kartor/A 12131-2024 karta.png", "A 12131-2024")</f>
        <v/>
      </c>
      <c r="V129">
        <f>HYPERLINK("https://klasma.github.io/Logging_1443/klagomål/A 12131-2024 FSC-klagomål.docx", "A 12131-2024")</f>
        <v/>
      </c>
      <c r="W129">
        <f>HYPERLINK("https://klasma.github.io/Logging_1443/klagomålsmail/A 12131-2024 FSC-klagomål mail.docx", "A 12131-2024")</f>
        <v/>
      </c>
      <c r="X129">
        <f>HYPERLINK("https://klasma.github.io/Logging_1443/tillsyn/A 12131-2024 tillsynsbegäran.docx", "A 12131-2024")</f>
        <v/>
      </c>
      <c r="Y129">
        <f>HYPERLINK("https://klasma.github.io/Logging_1443/tillsynsmail/A 12131-2024 tillsynsbegäran mail.docx", "A 12131-2024")</f>
        <v/>
      </c>
      <c r="Z129">
        <f>HYPERLINK("https://klasma.github.io/Logging_1443/fåglar/A 12131-2024 prioriterade fågelarter.docx", "A 12131-2024")</f>
        <v/>
      </c>
    </row>
    <row r="130" ht="15" customHeight="1">
      <c r="A130" t="inlineStr">
        <is>
          <t>A 11824-2025</t>
        </is>
      </c>
      <c r="B130" s="1" t="n">
        <v>45728.32841435185</v>
      </c>
      <c r="C130" s="1" t="n">
        <v>46011</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46011</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62027-2021</t>
        </is>
      </c>
      <c r="B132" s="1" t="n">
        <v>44501</v>
      </c>
      <c r="C132" s="1" t="n">
        <v>46011</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46011</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46011</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46011</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46011</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46011</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17902-2021</t>
        </is>
      </c>
      <c r="B138" s="1" t="n">
        <v>44300</v>
      </c>
      <c r="C138" s="1" t="n">
        <v>46011</v>
      </c>
      <c r="D138" t="inlineStr">
        <is>
          <t>VÄSTRA GÖTALANDS LÄN</t>
        </is>
      </c>
      <c r="E138" t="inlineStr">
        <is>
          <t>STRÖMSTAD</t>
        </is>
      </c>
      <c r="G138" t="n">
        <v>8.5</v>
      </c>
      <c r="H138" t="n">
        <v>1</v>
      </c>
      <c r="I138" t="n">
        <v>3</v>
      </c>
      <c r="J138" t="n">
        <v>1</v>
      </c>
      <c r="K138" t="n">
        <v>0</v>
      </c>
      <c r="L138" t="n">
        <v>0</v>
      </c>
      <c r="M138" t="n">
        <v>0</v>
      </c>
      <c r="N138" t="n">
        <v>0</v>
      </c>
      <c r="O138" t="n">
        <v>1</v>
      </c>
      <c r="P138" t="n">
        <v>0</v>
      </c>
      <c r="Q138" t="n">
        <v>4</v>
      </c>
      <c r="R138" s="2" t="inlineStr">
        <is>
          <t>Spillkråka
Blåmossa
Stor revmossa
Västlig hakmossa</t>
        </is>
      </c>
      <c r="S138">
        <f>HYPERLINK("https://klasma.github.io/Logging_1486/artfynd/A 17902-2021 artfynd.xlsx", "A 17902-2021")</f>
        <v/>
      </c>
      <c r="T138">
        <f>HYPERLINK("https://klasma.github.io/Logging_1486/kartor/A 17902-2021 karta.png", "A 17902-2021")</f>
        <v/>
      </c>
      <c r="V138">
        <f>HYPERLINK("https://klasma.github.io/Logging_1486/klagomål/A 17902-2021 FSC-klagomål.docx", "A 17902-2021")</f>
        <v/>
      </c>
      <c r="W138">
        <f>HYPERLINK("https://klasma.github.io/Logging_1486/klagomålsmail/A 17902-2021 FSC-klagomål mail.docx", "A 17902-2021")</f>
        <v/>
      </c>
      <c r="X138">
        <f>HYPERLINK("https://klasma.github.io/Logging_1486/tillsyn/A 17902-2021 tillsynsbegäran.docx", "A 17902-2021")</f>
        <v/>
      </c>
      <c r="Y138">
        <f>HYPERLINK("https://klasma.github.io/Logging_1486/tillsynsmail/A 17902-2021 tillsynsbegäran mail.docx", "A 17902-2021")</f>
        <v/>
      </c>
      <c r="Z138">
        <f>HYPERLINK("https://klasma.github.io/Logging_1486/fåglar/A 17902-2021 prioriterade fågelarter.docx", "A 17902-2021")</f>
        <v/>
      </c>
    </row>
    <row r="139" ht="15" customHeight="1">
      <c r="A139" t="inlineStr">
        <is>
          <t>A 10017-2022</t>
        </is>
      </c>
      <c r="B139" s="1" t="n">
        <v>44621.49918981481</v>
      </c>
      <c r="C139" s="1" t="n">
        <v>46011</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54650-2022</t>
        </is>
      </c>
      <c r="B140" s="1" t="n">
        <v>44883.42645833334</v>
      </c>
      <c r="C140" s="1" t="n">
        <v>46011</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46011</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26491-2024</t>
        </is>
      </c>
      <c r="B142" s="1" t="n">
        <v>45469</v>
      </c>
      <c r="C142" s="1" t="n">
        <v>46011</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46011</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46011</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46011</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64789-2023</t>
        </is>
      </c>
      <c r="B146" s="1" t="n">
        <v>45282.36556712963</v>
      </c>
      <c r="C146" s="1" t="n">
        <v>46011</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25764-2025</t>
        </is>
      </c>
      <c r="B147" s="1" t="n">
        <v>45804.3400462963</v>
      </c>
      <c r="C147" s="1" t="n">
        <v>46011</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1414-2024</t>
        </is>
      </c>
      <c r="B148" s="1" t="n">
        <v>45303</v>
      </c>
      <c r="C148" s="1" t="n">
        <v>46011</v>
      </c>
      <c r="D148" t="inlineStr">
        <is>
          <t>VÄSTRA GÖTALANDS LÄN</t>
        </is>
      </c>
      <c r="E148" t="inlineStr">
        <is>
          <t>FÄRGELANDA</t>
        </is>
      </c>
      <c r="G148" t="n">
        <v>6.7</v>
      </c>
      <c r="H148" t="n">
        <v>2</v>
      </c>
      <c r="I148" t="n">
        <v>1</v>
      </c>
      <c r="J148" t="n">
        <v>2</v>
      </c>
      <c r="K148" t="n">
        <v>0</v>
      </c>
      <c r="L148" t="n">
        <v>0</v>
      </c>
      <c r="M148" t="n">
        <v>0</v>
      </c>
      <c r="N148" t="n">
        <v>0</v>
      </c>
      <c r="O148" t="n">
        <v>2</v>
      </c>
      <c r="P148" t="n">
        <v>0</v>
      </c>
      <c r="Q148" t="n">
        <v>4</v>
      </c>
      <c r="R148" s="2" t="inlineStr">
        <is>
          <t>Motaggsvamp
Spillkråka
Blåmossa
Revlummer</t>
        </is>
      </c>
      <c r="S148">
        <f>HYPERLINK("https://klasma.github.io/Logging_1439/artfynd/A 1414-2024 artfynd.xlsx", "A 1414-2024")</f>
        <v/>
      </c>
      <c r="T148">
        <f>HYPERLINK("https://klasma.github.io/Logging_1439/kartor/A 1414-2024 karta.png", "A 1414-2024")</f>
        <v/>
      </c>
      <c r="V148">
        <f>HYPERLINK("https://klasma.github.io/Logging_1439/klagomål/A 1414-2024 FSC-klagomål.docx", "A 1414-2024")</f>
        <v/>
      </c>
      <c r="W148">
        <f>HYPERLINK("https://klasma.github.io/Logging_1439/klagomålsmail/A 1414-2024 FSC-klagomål mail.docx", "A 1414-2024")</f>
        <v/>
      </c>
      <c r="X148">
        <f>HYPERLINK("https://klasma.github.io/Logging_1439/tillsyn/A 1414-2024 tillsynsbegäran.docx", "A 1414-2024")</f>
        <v/>
      </c>
      <c r="Y148">
        <f>HYPERLINK("https://klasma.github.io/Logging_1439/tillsynsmail/A 1414-2024 tillsynsbegäran mail.docx", "A 1414-2024")</f>
        <v/>
      </c>
      <c r="Z148">
        <f>HYPERLINK("https://klasma.github.io/Logging_1439/fåglar/A 1414-2024 prioriterade fågelarter.docx", "A 1414-2024")</f>
        <v/>
      </c>
    </row>
    <row r="149" ht="15" customHeight="1">
      <c r="A149" t="inlineStr">
        <is>
          <t>A 43771-2023</t>
        </is>
      </c>
      <c r="B149" s="1" t="n">
        <v>45187</v>
      </c>
      <c r="C149" s="1" t="n">
        <v>46011</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46011</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28512-2025</t>
        </is>
      </c>
      <c r="B151" s="1" t="n">
        <v>45819.48106481481</v>
      </c>
      <c r="C151" s="1" t="n">
        <v>46011</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46011</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46011</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52061-2024</t>
        </is>
      </c>
      <c r="B154" s="1" t="n">
        <v>45608.35664351852</v>
      </c>
      <c r="C154" s="1" t="n">
        <v>46011</v>
      </c>
      <c r="D154" t="inlineStr">
        <is>
          <t>VÄSTRA GÖTALANDS LÄN</t>
        </is>
      </c>
      <c r="E154" t="inlineStr">
        <is>
          <t>HÄRRYDA</t>
        </is>
      </c>
      <c r="G154" t="n">
        <v>8.1</v>
      </c>
      <c r="H154" t="n">
        <v>0</v>
      </c>
      <c r="I154" t="n">
        <v>4</v>
      </c>
      <c r="J154" t="n">
        <v>0</v>
      </c>
      <c r="K154" t="n">
        <v>0</v>
      </c>
      <c r="L154" t="n">
        <v>0</v>
      </c>
      <c r="M154" t="n">
        <v>0</v>
      </c>
      <c r="N154" t="n">
        <v>0</v>
      </c>
      <c r="O154" t="n">
        <v>0</v>
      </c>
      <c r="P154" t="n">
        <v>0</v>
      </c>
      <c r="Q154" t="n">
        <v>4</v>
      </c>
      <c r="R154" s="2" t="inlineStr">
        <is>
          <t>Blåmossa
Skuggmossa
Stor revmossa
Vågbandad barkbock</t>
        </is>
      </c>
      <c r="S154">
        <f>HYPERLINK("https://klasma.github.io/Logging_1401/artfynd/A 52061-2024 artfynd.xlsx", "A 52061-2024")</f>
        <v/>
      </c>
      <c r="T154">
        <f>HYPERLINK("https://klasma.github.io/Logging_1401/kartor/A 52061-2024 karta.png", "A 52061-2024")</f>
        <v/>
      </c>
      <c r="V154">
        <f>HYPERLINK("https://klasma.github.io/Logging_1401/klagomål/A 52061-2024 FSC-klagomål.docx", "A 52061-2024")</f>
        <v/>
      </c>
      <c r="W154">
        <f>HYPERLINK("https://klasma.github.io/Logging_1401/klagomålsmail/A 52061-2024 FSC-klagomål mail.docx", "A 52061-2024")</f>
        <v/>
      </c>
      <c r="X154">
        <f>HYPERLINK("https://klasma.github.io/Logging_1401/tillsyn/A 52061-2024 tillsynsbegäran.docx", "A 52061-2024")</f>
        <v/>
      </c>
      <c r="Y154">
        <f>HYPERLINK("https://klasma.github.io/Logging_1401/tillsynsmail/A 52061-2024 tillsynsbegäran mail.docx", "A 52061-2024")</f>
        <v/>
      </c>
    </row>
    <row r="155" ht="15" customHeight="1">
      <c r="A155" t="inlineStr">
        <is>
          <t>A 7903-2024</t>
        </is>
      </c>
      <c r="B155" s="1" t="n">
        <v>45350</v>
      </c>
      <c r="C155" s="1" t="n">
        <v>46011</v>
      </c>
      <c r="D155" t="inlineStr">
        <is>
          <t>VÄSTRA GÖTALANDS LÄN</t>
        </is>
      </c>
      <c r="E155" t="inlineStr">
        <is>
          <t>ALE</t>
        </is>
      </c>
      <c r="G155" t="n">
        <v>4.2</v>
      </c>
      <c r="H155" t="n">
        <v>4</v>
      </c>
      <c r="I155" t="n">
        <v>0</v>
      </c>
      <c r="J155" t="n">
        <v>3</v>
      </c>
      <c r="K155" t="n">
        <v>0</v>
      </c>
      <c r="L155" t="n">
        <v>0</v>
      </c>
      <c r="M155" t="n">
        <v>0</v>
      </c>
      <c r="N155" t="n">
        <v>0</v>
      </c>
      <c r="O155" t="n">
        <v>3</v>
      </c>
      <c r="P155" t="n">
        <v>0</v>
      </c>
      <c r="Q155" t="n">
        <v>4</v>
      </c>
      <c r="R155" s="2" t="inlineStr">
        <is>
          <t>Entita
Spillkråka
Talltita
Kungsfågel</t>
        </is>
      </c>
      <c r="S155">
        <f>HYPERLINK("https://klasma.github.io/Logging_1440/artfynd/A 7903-2024 artfynd.xlsx", "A 7903-2024")</f>
        <v/>
      </c>
      <c r="T155">
        <f>HYPERLINK("https://klasma.github.io/Logging_1440/kartor/A 7903-2024 karta.png", "A 7903-2024")</f>
        <v/>
      </c>
      <c r="V155">
        <f>HYPERLINK("https://klasma.github.io/Logging_1440/klagomål/A 7903-2024 FSC-klagomål.docx", "A 7903-2024")</f>
        <v/>
      </c>
      <c r="W155">
        <f>HYPERLINK("https://klasma.github.io/Logging_1440/klagomålsmail/A 7903-2024 FSC-klagomål mail.docx", "A 7903-2024")</f>
        <v/>
      </c>
      <c r="X155">
        <f>HYPERLINK("https://klasma.github.io/Logging_1440/tillsyn/A 7903-2024 tillsynsbegäran.docx", "A 7903-2024")</f>
        <v/>
      </c>
      <c r="Y155">
        <f>HYPERLINK("https://klasma.github.io/Logging_1440/tillsynsmail/A 7903-2024 tillsynsbegäran mail.docx", "A 7903-2024")</f>
        <v/>
      </c>
      <c r="Z155">
        <f>HYPERLINK("https://klasma.github.io/Logging_1440/fåglar/A 7903-2024 prioriterade fågelarter.docx", "A 7903-2024")</f>
        <v/>
      </c>
    </row>
    <row r="156" ht="15" customHeight="1">
      <c r="A156" t="inlineStr">
        <is>
          <t>A 49930-2024</t>
        </is>
      </c>
      <c r="B156" s="1" t="n">
        <v>45597.57973379629</v>
      </c>
      <c r="C156" s="1" t="n">
        <v>46011</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13950-2023</t>
        </is>
      </c>
      <c r="B157" s="1" t="n">
        <v>45008</v>
      </c>
      <c r="C157" s="1" t="n">
        <v>46011</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12684-2023</t>
        </is>
      </c>
      <c r="B158" s="1" t="n">
        <v>45000</v>
      </c>
      <c r="C158" s="1" t="n">
        <v>46011</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13943-2023</t>
        </is>
      </c>
      <c r="B159" s="1" t="n">
        <v>45008</v>
      </c>
      <c r="C159" s="1" t="n">
        <v>46011</v>
      </c>
      <c r="D159" t="inlineStr">
        <is>
          <t>VÄSTRA GÖTALANDS LÄN</t>
        </is>
      </c>
      <c r="E159" t="inlineStr">
        <is>
          <t>TANUM</t>
        </is>
      </c>
      <c r="G159" t="n">
        <v>3.5</v>
      </c>
      <c r="H159" t="n">
        <v>2</v>
      </c>
      <c r="I159" t="n">
        <v>1</v>
      </c>
      <c r="J159" t="n">
        <v>2</v>
      </c>
      <c r="K159" t="n">
        <v>0</v>
      </c>
      <c r="L159" t="n">
        <v>0</v>
      </c>
      <c r="M159" t="n">
        <v>0</v>
      </c>
      <c r="N159" t="n">
        <v>0</v>
      </c>
      <c r="O159" t="n">
        <v>2</v>
      </c>
      <c r="P159" t="n">
        <v>0</v>
      </c>
      <c r="Q159" t="n">
        <v>4</v>
      </c>
      <c r="R159" s="2" t="inlineStr">
        <is>
          <t>Spillkråka
Vedskivlav
Blåmossa
Revlummer</t>
        </is>
      </c>
      <c r="S159">
        <f>HYPERLINK("https://klasma.github.io/Logging_1435/artfynd/A 13943-2023 artfynd.xlsx", "A 13943-2023")</f>
        <v/>
      </c>
      <c r="T159">
        <f>HYPERLINK("https://klasma.github.io/Logging_1435/kartor/A 13943-2023 karta.png", "A 13943-2023")</f>
        <v/>
      </c>
      <c r="V159">
        <f>HYPERLINK("https://klasma.github.io/Logging_1435/klagomål/A 13943-2023 FSC-klagomål.docx", "A 13943-2023")</f>
        <v/>
      </c>
      <c r="W159">
        <f>HYPERLINK("https://klasma.github.io/Logging_1435/klagomålsmail/A 13943-2023 FSC-klagomål mail.docx", "A 13943-2023")</f>
        <v/>
      </c>
      <c r="X159">
        <f>HYPERLINK("https://klasma.github.io/Logging_1435/tillsyn/A 13943-2023 tillsynsbegäran.docx", "A 13943-2023")</f>
        <v/>
      </c>
      <c r="Y159">
        <f>HYPERLINK("https://klasma.github.io/Logging_1435/tillsynsmail/A 13943-2023 tillsynsbegäran mail.docx", "A 13943-2023")</f>
        <v/>
      </c>
      <c r="Z159">
        <f>HYPERLINK("https://klasma.github.io/Logging_1435/fåglar/A 13943-2023 prioriterade fågelarter.docx", "A 13943-2023")</f>
        <v/>
      </c>
    </row>
    <row r="160" ht="15" customHeight="1">
      <c r="A160" t="inlineStr">
        <is>
          <t>A 44523-2022</t>
        </is>
      </c>
      <c r="B160" s="1" t="n">
        <v>44840</v>
      </c>
      <c r="C160" s="1" t="n">
        <v>46011</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29487-2023</t>
        </is>
      </c>
      <c r="B161" s="1" t="n">
        <v>45106</v>
      </c>
      <c r="C161" s="1" t="n">
        <v>46011</v>
      </c>
      <c r="D161" t="inlineStr">
        <is>
          <t>VÄSTRA GÖTALANDS LÄN</t>
        </is>
      </c>
      <c r="E161" t="inlineStr">
        <is>
          <t>UDDEVALLA</t>
        </is>
      </c>
      <c r="G161" t="n">
        <v>4.9</v>
      </c>
      <c r="H161" t="n">
        <v>0</v>
      </c>
      <c r="I161" t="n">
        <v>3</v>
      </c>
      <c r="J161" t="n">
        <v>1</v>
      </c>
      <c r="K161" t="n">
        <v>0</v>
      </c>
      <c r="L161" t="n">
        <v>0</v>
      </c>
      <c r="M161" t="n">
        <v>0</v>
      </c>
      <c r="N161" t="n">
        <v>0</v>
      </c>
      <c r="O161" t="n">
        <v>1</v>
      </c>
      <c r="P161" t="n">
        <v>0</v>
      </c>
      <c r="Q161" t="n">
        <v>4</v>
      </c>
      <c r="R161" s="2" t="inlineStr">
        <is>
          <t>Gränsticka
Brandticka
Dunmossa
Sotriska</t>
        </is>
      </c>
      <c r="S161">
        <f>HYPERLINK("https://klasma.github.io/Logging_1485/artfynd/A 29487-2023 artfynd.xlsx", "A 29487-2023")</f>
        <v/>
      </c>
      <c r="T161">
        <f>HYPERLINK("https://klasma.github.io/Logging_1485/kartor/A 29487-2023 karta.png", "A 29487-2023")</f>
        <v/>
      </c>
      <c r="V161">
        <f>HYPERLINK("https://klasma.github.io/Logging_1485/klagomål/A 29487-2023 FSC-klagomål.docx", "A 29487-2023")</f>
        <v/>
      </c>
      <c r="W161">
        <f>HYPERLINK("https://klasma.github.io/Logging_1485/klagomålsmail/A 29487-2023 FSC-klagomål mail.docx", "A 29487-2023")</f>
        <v/>
      </c>
      <c r="X161">
        <f>HYPERLINK("https://klasma.github.io/Logging_1485/tillsyn/A 29487-2023 tillsynsbegäran.docx", "A 29487-2023")</f>
        <v/>
      </c>
      <c r="Y161">
        <f>HYPERLINK("https://klasma.github.io/Logging_1485/tillsynsmail/A 29487-2023 tillsynsbegäran mail.docx", "A 29487-2023")</f>
        <v/>
      </c>
    </row>
    <row r="162" ht="15" customHeight="1">
      <c r="A162" t="inlineStr">
        <is>
          <t>A 62048-2024</t>
        </is>
      </c>
      <c r="B162" s="1" t="n">
        <v>45656.36435185185</v>
      </c>
      <c r="C162" s="1" t="n">
        <v>46011</v>
      </c>
      <c r="D162" t="inlineStr">
        <is>
          <t>VÄSTRA GÖTALANDS LÄN</t>
        </is>
      </c>
      <c r="E162" t="inlineStr">
        <is>
          <t>UDDEVALLA</t>
        </is>
      </c>
      <c r="F162" t="inlineStr">
        <is>
          <t>Kommuner</t>
        </is>
      </c>
      <c r="G162" t="n">
        <v>3.8</v>
      </c>
      <c r="H162" t="n">
        <v>1</v>
      </c>
      <c r="I162" t="n">
        <v>3</v>
      </c>
      <c r="J162" t="n">
        <v>0</v>
      </c>
      <c r="K162" t="n">
        <v>0</v>
      </c>
      <c r="L162" t="n">
        <v>0</v>
      </c>
      <c r="M162" t="n">
        <v>0</v>
      </c>
      <c r="N162" t="n">
        <v>0</v>
      </c>
      <c r="O162" t="n">
        <v>0</v>
      </c>
      <c r="P162" t="n">
        <v>0</v>
      </c>
      <c r="Q162" t="n">
        <v>4</v>
      </c>
      <c r="R162" s="2" t="inlineStr">
        <is>
          <t>Klippfrullania
Stor revmossa
Västlig hakmossa
Revlummer</t>
        </is>
      </c>
      <c r="S162">
        <f>HYPERLINK("https://klasma.github.io/Logging_1485/artfynd/A 62048-2024 artfynd.xlsx", "A 62048-2024")</f>
        <v/>
      </c>
      <c r="T162">
        <f>HYPERLINK("https://klasma.github.io/Logging_1485/kartor/A 62048-2024 karta.png", "A 62048-2024")</f>
        <v/>
      </c>
      <c r="V162">
        <f>HYPERLINK("https://klasma.github.io/Logging_1485/klagomål/A 62048-2024 FSC-klagomål.docx", "A 62048-2024")</f>
        <v/>
      </c>
      <c r="W162">
        <f>HYPERLINK("https://klasma.github.io/Logging_1485/klagomålsmail/A 62048-2024 FSC-klagomål mail.docx", "A 62048-2024")</f>
        <v/>
      </c>
      <c r="X162">
        <f>HYPERLINK("https://klasma.github.io/Logging_1485/tillsyn/A 62048-2024 tillsynsbegäran.docx", "A 62048-2024")</f>
        <v/>
      </c>
      <c r="Y162">
        <f>HYPERLINK("https://klasma.github.io/Logging_1485/tillsynsmail/A 62048-2024 tillsynsbegäran mail.docx", "A 62048-2024")</f>
        <v/>
      </c>
    </row>
    <row r="163" ht="15" customHeight="1">
      <c r="A163" t="inlineStr">
        <is>
          <t>A 62062-2024</t>
        </is>
      </c>
      <c r="B163" s="1" t="n">
        <v>45656.38539351852</v>
      </c>
      <c r="C163" s="1" t="n">
        <v>46011</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2443-2023</t>
        </is>
      </c>
      <c r="B164" s="1" t="n">
        <v>44943</v>
      </c>
      <c r="C164" s="1" t="n">
        <v>46011</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16179-2025</t>
        </is>
      </c>
      <c r="B165" s="1" t="n">
        <v>45750</v>
      </c>
      <c r="C165" s="1" t="n">
        <v>46011</v>
      </c>
      <c r="D165" t="inlineStr">
        <is>
          <t>VÄSTRA GÖTALANDS LÄN</t>
        </is>
      </c>
      <c r="E165" t="inlineStr">
        <is>
          <t>SKARA</t>
        </is>
      </c>
      <c r="G165" t="n">
        <v>7.4</v>
      </c>
      <c r="H165" t="n">
        <v>2</v>
      </c>
      <c r="I165" t="n">
        <v>2</v>
      </c>
      <c r="J165" t="n">
        <v>1</v>
      </c>
      <c r="K165" t="n">
        <v>0</v>
      </c>
      <c r="L165" t="n">
        <v>0</v>
      </c>
      <c r="M165" t="n">
        <v>0</v>
      </c>
      <c r="N165" t="n">
        <v>0</v>
      </c>
      <c r="O165" t="n">
        <v>1</v>
      </c>
      <c r="P165" t="n">
        <v>0</v>
      </c>
      <c r="Q165" t="n">
        <v>4</v>
      </c>
      <c r="R165" s="2" t="inlineStr">
        <is>
          <t>Rosenfink
Hässleklocka
Lundbräsma
Blåsippa</t>
        </is>
      </c>
      <c r="S165">
        <f>HYPERLINK("https://klasma.github.io/Logging_1495/artfynd/A 16179-2025 artfynd.xlsx", "A 16179-2025")</f>
        <v/>
      </c>
      <c r="T165">
        <f>HYPERLINK("https://klasma.github.io/Logging_1495/kartor/A 16179-2025 karta.png", "A 16179-2025")</f>
        <v/>
      </c>
      <c r="V165">
        <f>HYPERLINK("https://klasma.github.io/Logging_1495/klagomål/A 16179-2025 FSC-klagomål.docx", "A 16179-2025")</f>
        <v/>
      </c>
      <c r="W165">
        <f>HYPERLINK("https://klasma.github.io/Logging_1495/klagomålsmail/A 16179-2025 FSC-klagomål mail.docx", "A 16179-2025")</f>
        <v/>
      </c>
      <c r="X165">
        <f>HYPERLINK("https://klasma.github.io/Logging_1495/tillsyn/A 16179-2025 tillsynsbegäran.docx", "A 16179-2025")</f>
        <v/>
      </c>
      <c r="Y165">
        <f>HYPERLINK("https://klasma.github.io/Logging_1495/tillsynsmail/A 16179-2025 tillsynsbegäran mail.docx", "A 16179-2025")</f>
        <v/>
      </c>
      <c r="Z165">
        <f>HYPERLINK("https://klasma.github.io/Logging_1495/fåglar/A 16179-2025 prioriterade fågelarter.docx", "A 16179-2025")</f>
        <v/>
      </c>
    </row>
    <row r="166" ht="15" customHeight="1">
      <c r="A166" t="inlineStr">
        <is>
          <t>A 57163-2025</t>
        </is>
      </c>
      <c r="B166" s="1" t="n">
        <v>45979.53326388889</v>
      </c>
      <c r="C166" s="1" t="n">
        <v>46011</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35643-2023</t>
        </is>
      </c>
      <c r="B167" s="1" t="n">
        <v>45147.57732638889</v>
      </c>
      <c r="C167" s="1" t="n">
        <v>46011</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50084-2025</t>
        </is>
      </c>
      <c r="B168" s="1" t="n">
        <v>45943.47586805555</v>
      </c>
      <c r="C168" s="1" t="n">
        <v>46011</v>
      </c>
      <c r="D168" t="inlineStr">
        <is>
          <t>VÄSTRA GÖTALANDS LÄN</t>
        </is>
      </c>
      <c r="E168" t="inlineStr">
        <is>
          <t>BOLLEBYGD</t>
        </is>
      </c>
      <c r="G168" t="n">
        <v>12.5</v>
      </c>
      <c r="H168" t="n">
        <v>4</v>
      </c>
      <c r="I168" t="n">
        <v>0</v>
      </c>
      <c r="J168" t="n">
        <v>2</v>
      </c>
      <c r="K168" t="n">
        <v>0</v>
      </c>
      <c r="L168" t="n">
        <v>0</v>
      </c>
      <c r="M168" t="n">
        <v>0</v>
      </c>
      <c r="N168" t="n">
        <v>0</v>
      </c>
      <c r="O168" t="n">
        <v>2</v>
      </c>
      <c r="P168" t="n">
        <v>0</v>
      </c>
      <c r="Q168" t="n">
        <v>4</v>
      </c>
      <c r="R168" s="2" t="inlineStr">
        <is>
          <t>Spillkråka
Talltita
Grönsiska
Revlummer</t>
        </is>
      </c>
      <c r="S168">
        <f>HYPERLINK("https://klasma.github.io/Logging_1443/artfynd/A 50084-2025 artfynd.xlsx", "A 50084-2025")</f>
        <v/>
      </c>
      <c r="T168">
        <f>HYPERLINK("https://klasma.github.io/Logging_1443/kartor/A 50084-2025 karta.png", "A 50084-2025")</f>
        <v/>
      </c>
      <c r="V168">
        <f>HYPERLINK("https://klasma.github.io/Logging_1443/klagomål/A 50084-2025 FSC-klagomål.docx", "A 50084-2025")</f>
        <v/>
      </c>
      <c r="W168">
        <f>HYPERLINK("https://klasma.github.io/Logging_1443/klagomålsmail/A 50084-2025 FSC-klagomål mail.docx", "A 50084-2025")</f>
        <v/>
      </c>
      <c r="X168">
        <f>HYPERLINK("https://klasma.github.io/Logging_1443/tillsyn/A 50084-2025 tillsynsbegäran.docx", "A 50084-2025")</f>
        <v/>
      </c>
      <c r="Y168">
        <f>HYPERLINK("https://klasma.github.io/Logging_1443/tillsynsmail/A 50084-2025 tillsynsbegäran mail.docx", "A 50084-2025")</f>
        <v/>
      </c>
      <c r="Z168">
        <f>HYPERLINK("https://klasma.github.io/Logging_1443/fåglar/A 50084-2025 prioriterade fågelarter.docx", "A 50084-2025")</f>
        <v/>
      </c>
    </row>
    <row r="169" ht="15" customHeight="1">
      <c r="A169" t="inlineStr">
        <is>
          <t>A 51440-2025</t>
        </is>
      </c>
      <c r="B169" s="1" t="n">
        <v>45950.57366898148</v>
      </c>
      <c r="C169" s="1" t="n">
        <v>46011</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14805-2023</t>
        </is>
      </c>
      <c r="B170" s="1" t="n">
        <v>45014</v>
      </c>
      <c r="C170" s="1" t="n">
        <v>46011</v>
      </c>
      <c r="D170" t="inlineStr">
        <is>
          <t>VÄSTRA GÖTALANDS LÄN</t>
        </is>
      </c>
      <c r="E170" t="inlineStr">
        <is>
          <t>ORUST</t>
        </is>
      </c>
      <c r="G170" t="n">
        <v>3.2</v>
      </c>
      <c r="H170" t="n">
        <v>2</v>
      </c>
      <c r="I170" t="n">
        <v>2</v>
      </c>
      <c r="J170" t="n">
        <v>1</v>
      </c>
      <c r="K170" t="n">
        <v>1</v>
      </c>
      <c r="L170" t="n">
        <v>0</v>
      </c>
      <c r="M170" t="n">
        <v>0</v>
      </c>
      <c r="N170" t="n">
        <v>0</v>
      </c>
      <c r="O170" t="n">
        <v>2</v>
      </c>
      <c r="P170" t="n">
        <v>1</v>
      </c>
      <c r="Q170" t="n">
        <v>4</v>
      </c>
      <c r="R170" s="2" t="inlineStr">
        <is>
          <t>Knärot
Grönsångare
Kambräken
Purpurmylia</t>
        </is>
      </c>
      <c r="S170">
        <f>HYPERLINK("https://klasma.github.io/Logging_1421/artfynd/A 14805-2023 artfynd.xlsx", "A 14805-2023")</f>
        <v/>
      </c>
      <c r="T170">
        <f>HYPERLINK("https://klasma.github.io/Logging_1421/kartor/A 14805-2023 karta.png", "A 14805-2023")</f>
        <v/>
      </c>
      <c r="U170">
        <f>HYPERLINK("https://klasma.github.io/Logging_1421/knärot/A 14805-2023 karta knärot.png", "A 14805-2023")</f>
        <v/>
      </c>
      <c r="V170">
        <f>HYPERLINK("https://klasma.github.io/Logging_1421/klagomål/A 14805-2023 FSC-klagomål.docx", "A 14805-2023")</f>
        <v/>
      </c>
      <c r="W170">
        <f>HYPERLINK("https://klasma.github.io/Logging_1421/klagomålsmail/A 14805-2023 FSC-klagomål mail.docx", "A 14805-2023")</f>
        <v/>
      </c>
      <c r="X170">
        <f>HYPERLINK("https://klasma.github.io/Logging_1421/tillsyn/A 14805-2023 tillsynsbegäran.docx", "A 14805-2023")</f>
        <v/>
      </c>
      <c r="Y170">
        <f>HYPERLINK("https://klasma.github.io/Logging_1421/tillsynsmail/A 14805-2023 tillsynsbegäran mail.docx", "A 14805-2023")</f>
        <v/>
      </c>
      <c r="Z170">
        <f>HYPERLINK("https://klasma.github.io/Logging_1421/fåglar/A 14805-2023 prioriterade fågelarter.docx", "A 14805-2023")</f>
        <v/>
      </c>
    </row>
    <row r="171" ht="15" customHeight="1">
      <c r="A171" t="inlineStr">
        <is>
          <t>A 8319-2025</t>
        </is>
      </c>
      <c r="B171" s="1" t="n">
        <v>45708.62547453704</v>
      </c>
      <c r="C171" s="1" t="n">
        <v>46011</v>
      </c>
      <c r="D171" t="inlineStr">
        <is>
          <t>VÄSTRA GÖTALANDS LÄN</t>
        </is>
      </c>
      <c r="E171" t="inlineStr">
        <is>
          <t>MARIESTAD</t>
        </is>
      </c>
      <c r="G171" t="n">
        <v>4.5</v>
      </c>
      <c r="H171" t="n">
        <v>3</v>
      </c>
      <c r="I171" t="n">
        <v>0</v>
      </c>
      <c r="J171" t="n">
        <v>2</v>
      </c>
      <c r="K171" t="n">
        <v>0</v>
      </c>
      <c r="L171" t="n">
        <v>0</v>
      </c>
      <c r="M171" t="n">
        <v>0</v>
      </c>
      <c r="N171" t="n">
        <v>0</v>
      </c>
      <c r="O171" t="n">
        <v>2</v>
      </c>
      <c r="P171" t="n">
        <v>0</v>
      </c>
      <c r="Q171" t="n">
        <v>4</v>
      </c>
      <c r="R171" s="2" t="inlineStr">
        <is>
          <t>Igelkott
Talltita
Järnsparv
Kungsfågel</t>
        </is>
      </c>
      <c r="S171">
        <f>HYPERLINK("https://klasma.github.io/Logging_1493/artfynd/A 8319-2025 artfynd.xlsx", "A 8319-2025")</f>
        <v/>
      </c>
      <c r="T171">
        <f>HYPERLINK("https://klasma.github.io/Logging_1493/kartor/A 8319-2025 karta.png", "A 8319-2025")</f>
        <v/>
      </c>
      <c r="V171">
        <f>HYPERLINK("https://klasma.github.io/Logging_1493/klagomål/A 8319-2025 FSC-klagomål.docx", "A 8319-2025")</f>
        <v/>
      </c>
      <c r="W171">
        <f>HYPERLINK("https://klasma.github.io/Logging_1493/klagomålsmail/A 8319-2025 FSC-klagomål mail.docx", "A 8319-2025")</f>
        <v/>
      </c>
      <c r="X171">
        <f>HYPERLINK("https://klasma.github.io/Logging_1493/tillsyn/A 8319-2025 tillsynsbegäran.docx", "A 8319-2025")</f>
        <v/>
      </c>
      <c r="Y171">
        <f>HYPERLINK("https://klasma.github.io/Logging_1493/tillsynsmail/A 8319-2025 tillsynsbegäran mail.docx", "A 8319-2025")</f>
        <v/>
      </c>
      <c r="Z171">
        <f>HYPERLINK("https://klasma.github.io/Logging_1493/fåglar/A 8319-2025 prioriterade fågelarter.docx", "A 8319-2025")</f>
        <v/>
      </c>
    </row>
    <row r="172" ht="15" customHeight="1">
      <c r="A172" t="inlineStr">
        <is>
          <t>A 47703-2021</t>
        </is>
      </c>
      <c r="B172" s="1" t="n">
        <v>44448</v>
      </c>
      <c r="C172" s="1" t="n">
        <v>46011</v>
      </c>
      <c r="D172" t="inlineStr">
        <is>
          <t>VÄSTRA GÖTALANDS LÄN</t>
        </is>
      </c>
      <c r="E172" t="inlineStr">
        <is>
          <t>KARLSBORG</t>
        </is>
      </c>
      <c r="G172" t="n">
        <v>12.9</v>
      </c>
      <c r="H172" t="n">
        <v>3</v>
      </c>
      <c r="I172" t="n">
        <v>1</v>
      </c>
      <c r="J172" t="n">
        <v>2</v>
      </c>
      <c r="K172" t="n">
        <v>1</v>
      </c>
      <c r="L172" t="n">
        <v>0</v>
      </c>
      <c r="M172" t="n">
        <v>0</v>
      </c>
      <c r="N172" t="n">
        <v>0</v>
      </c>
      <c r="O172" t="n">
        <v>3</v>
      </c>
      <c r="P172" t="n">
        <v>1</v>
      </c>
      <c r="Q172" t="n">
        <v>4</v>
      </c>
      <c r="R172" s="2" t="inlineStr">
        <is>
          <t>Knärot
Spillkråka
Tretåig hackspett
Kattfotslav</t>
        </is>
      </c>
      <c r="S172">
        <f>HYPERLINK("https://klasma.github.io/Logging_1446/artfynd/A 47703-2021 artfynd.xlsx", "A 47703-2021")</f>
        <v/>
      </c>
      <c r="T172">
        <f>HYPERLINK("https://klasma.github.io/Logging_1446/kartor/A 47703-2021 karta.png", "A 47703-2021")</f>
        <v/>
      </c>
      <c r="U172">
        <f>HYPERLINK("https://klasma.github.io/Logging_1446/knärot/A 47703-2021 karta knärot.png", "A 47703-2021")</f>
        <v/>
      </c>
      <c r="V172">
        <f>HYPERLINK("https://klasma.github.io/Logging_1446/klagomål/A 47703-2021 FSC-klagomål.docx", "A 47703-2021")</f>
        <v/>
      </c>
      <c r="W172">
        <f>HYPERLINK("https://klasma.github.io/Logging_1446/klagomålsmail/A 47703-2021 FSC-klagomål mail.docx", "A 47703-2021")</f>
        <v/>
      </c>
      <c r="X172">
        <f>HYPERLINK("https://klasma.github.io/Logging_1446/tillsyn/A 47703-2021 tillsynsbegäran.docx", "A 47703-2021")</f>
        <v/>
      </c>
      <c r="Y172">
        <f>HYPERLINK("https://klasma.github.io/Logging_1446/tillsynsmail/A 47703-2021 tillsynsbegäran mail.docx", "A 47703-2021")</f>
        <v/>
      </c>
      <c r="Z172">
        <f>HYPERLINK("https://klasma.github.io/Logging_1446/fåglar/A 47703-2021 prioriterade fågelarter.docx", "A 47703-2021")</f>
        <v/>
      </c>
    </row>
    <row r="173" ht="15" customHeight="1">
      <c r="A173" t="inlineStr">
        <is>
          <t>A 34634-2024</t>
        </is>
      </c>
      <c r="B173" s="1" t="n">
        <v>45526</v>
      </c>
      <c r="C173" s="1" t="n">
        <v>46011</v>
      </c>
      <c r="D173" t="inlineStr">
        <is>
          <t>VÄSTRA GÖTALANDS LÄN</t>
        </is>
      </c>
      <c r="E173" t="inlineStr">
        <is>
          <t>BORÅS</t>
        </is>
      </c>
      <c r="G173" t="n">
        <v>6.2</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HYPERLINK("https://klasma.github.io/Logging_1490/artfynd/A 34634-2024 artfynd.xlsx", "A 34634-2024")</f>
        <v/>
      </c>
      <c r="T173">
        <f>HYPERLINK("https://klasma.github.io/Logging_1490/kartor/A 34634-2024 karta.png", "A 34634-2024")</f>
        <v/>
      </c>
      <c r="V173">
        <f>HYPERLINK("https://klasma.github.io/Logging_1490/klagomål/A 34634-2024 FSC-klagomål.docx", "A 34634-2024")</f>
        <v/>
      </c>
      <c r="W173">
        <f>HYPERLINK("https://klasma.github.io/Logging_1490/klagomålsmail/A 34634-2024 FSC-klagomål mail.docx", "A 34634-2024")</f>
        <v/>
      </c>
      <c r="X173">
        <f>HYPERLINK("https://klasma.github.io/Logging_1490/tillsyn/A 34634-2024 tillsynsbegäran.docx", "A 34634-2024")</f>
        <v/>
      </c>
      <c r="Y173">
        <f>HYPERLINK("https://klasma.github.io/Logging_1490/tillsynsmail/A 34634-2024 tillsynsbegäran mail.docx", "A 34634-2024")</f>
        <v/>
      </c>
    </row>
    <row r="174" ht="15" customHeight="1">
      <c r="A174" t="inlineStr">
        <is>
          <t>A 14438-2025</t>
        </is>
      </c>
      <c r="B174" s="1" t="n">
        <v>45741</v>
      </c>
      <c r="C174" s="1" t="n">
        <v>46011</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49356-2021</t>
        </is>
      </c>
      <c r="B175" s="1" t="n">
        <v>44454</v>
      </c>
      <c r="C175" s="1" t="n">
        <v>46011</v>
      </c>
      <c r="D175" t="inlineStr">
        <is>
          <t>VÄSTRA GÖTALANDS LÄN</t>
        </is>
      </c>
      <c r="E175" t="inlineStr">
        <is>
          <t>STRÖMSTAD</t>
        </is>
      </c>
      <c r="G175" t="n">
        <v>7.9</v>
      </c>
      <c r="H175" t="n">
        <v>3</v>
      </c>
      <c r="I175" t="n">
        <v>1</v>
      </c>
      <c r="J175" t="n">
        <v>1</v>
      </c>
      <c r="K175" t="n">
        <v>1</v>
      </c>
      <c r="L175" t="n">
        <v>0</v>
      </c>
      <c r="M175" t="n">
        <v>0</v>
      </c>
      <c r="N175" t="n">
        <v>0</v>
      </c>
      <c r="O175" t="n">
        <v>2</v>
      </c>
      <c r="P175" t="n">
        <v>1</v>
      </c>
      <c r="Q175" t="n">
        <v>4</v>
      </c>
      <c r="R175" s="2" t="inlineStr">
        <is>
          <t>Knärot
Duvhök
Blåmossa
Revlummer</t>
        </is>
      </c>
      <c r="S175">
        <f>HYPERLINK("https://klasma.github.io/Logging_1486/artfynd/A 49356-2021 artfynd.xlsx", "A 49356-2021")</f>
        <v/>
      </c>
      <c r="T175">
        <f>HYPERLINK("https://klasma.github.io/Logging_1486/kartor/A 49356-2021 karta.png", "A 49356-2021")</f>
        <v/>
      </c>
      <c r="U175">
        <f>HYPERLINK("https://klasma.github.io/Logging_1486/knärot/A 49356-2021 karta knärot.png", "A 49356-2021")</f>
        <v/>
      </c>
      <c r="V175">
        <f>HYPERLINK("https://klasma.github.io/Logging_1486/klagomål/A 49356-2021 FSC-klagomål.docx", "A 49356-2021")</f>
        <v/>
      </c>
      <c r="W175">
        <f>HYPERLINK("https://klasma.github.io/Logging_1486/klagomålsmail/A 49356-2021 FSC-klagomål mail.docx", "A 49356-2021")</f>
        <v/>
      </c>
      <c r="X175">
        <f>HYPERLINK("https://klasma.github.io/Logging_1486/tillsyn/A 49356-2021 tillsynsbegäran.docx", "A 49356-2021")</f>
        <v/>
      </c>
      <c r="Y175">
        <f>HYPERLINK("https://klasma.github.io/Logging_1486/tillsynsmail/A 49356-2021 tillsynsbegäran mail.docx", "A 49356-2021")</f>
        <v/>
      </c>
      <c r="Z175">
        <f>HYPERLINK("https://klasma.github.io/Logging_1486/fåglar/A 49356-2021 prioriterade fågelarter.docx", "A 49356-2021")</f>
        <v/>
      </c>
    </row>
    <row r="176" ht="15" customHeight="1">
      <c r="A176" t="inlineStr">
        <is>
          <t>A 53126-2025</t>
        </is>
      </c>
      <c r="B176" s="1" t="n">
        <v>45958.45964120371</v>
      </c>
      <c r="C176" s="1" t="n">
        <v>46011</v>
      </c>
      <c r="D176" t="inlineStr">
        <is>
          <t>VÄSTRA GÖTALANDS LÄN</t>
        </is>
      </c>
      <c r="E176" t="inlineStr">
        <is>
          <t>FALKÖPING</t>
        </is>
      </c>
      <c r="G176" t="n">
        <v>6.9</v>
      </c>
      <c r="H176" t="n">
        <v>3</v>
      </c>
      <c r="I176" t="n">
        <v>1</v>
      </c>
      <c r="J176" t="n">
        <v>0</v>
      </c>
      <c r="K176" t="n">
        <v>0</v>
      </c>
      <c r="L176" t="n">
        <v>1</v>
      </c>
      <c r="M176" t="n">
        <v>0</v>
      </c>
      <c r="N176" t="n">
        <v>0</v>
      </c>
      <c r="O176" t="n">
        <v>1</v>
      </c>
      <c r="P176" t="n">
        <v>1</v>
      </c>
      <c r="Q176" t="n">
        <v>4</v>
      </c>
      <c r="R176" s="2" t="inlineStr">
        <is>
          <t>Ask
Nästrot
Grönvit nattviol
Blåsippa</t>
        </is>
      </c>
      <c r="S176">
        <f>HYPERLINK("https://klasma.github.io/Logging_1499/artfynd/A 53126-2025 artfynd.xlsx", "A 53126-2025")</f>
        <v/>
      </c>
      <c r="T176">
        <f>HYPERLINK("https://klasma.github.io/Logging_1499/kartor/A 53126-2025 karta.png", "A 53126-2025")</f>
        <v/>
      </c>
      <c r="V176">
        <f>HYPERLINK("https://klasma.github.io/Logging_1499/klagomål/A 53126-2025 FSC-klagomål.docx", "A 53126-2025")</f>
        <v/>
      </c>
      <c r="W176">
        <f>HYPERLINK("https://klasma.github.io/Logging_1499/klagomålsmail/A 53126-2025 FSC-klagomål mail.docx", "A 53126-2025")</f>
        <v/>
      </c>
      <c r="X176">
        <f>HYPERLINK("https://klasma.github.io/Logging_1499/tillsyn/A 53126-2025 tillsynsbegäran.docx", "A 53126-2025")</f>
        <v/>
      </c>
      <c r="Y176">
        <f>HYPERLINK("https://klasma.github.io/Logging_1499/tillsynsmail/A 53126-2025 tillsynsbegäran mail.docx", "A 53126-2025")</f>
        <v/>
      </c>
    </row>
    <row r="177" ht="15" customHeight="1">
      <c r="A177" t="inlineStr">
        <is>
          <t>A 25298-2024</t>
        </is>
      </c>
      <c r="B177" s="1" t="n">
        <v>45462</v>
      </c>
      <c r="C177" s="1" t="n">
        <v>46011</v>
      </c>
      <c r="D177" t="inlineStr">
        <is>
          <t>VÄSTRA GÖTALANDS LÄN</t>
        </is>
      </c>
      <c r="E177" t="inlineStr">
        <is>
          <t>LILLA EDET</t>
        </is>
      </c>
      <c r="F177" t="inlineStr">
        <is>
          <t>Kommuner</t>
        </is>
      </c>
      <c r="G177" t="n">
        <v>5.9</v>
      </c>
      <c r="H177" t="n">
        <v>2</v>
      </c>
      <c r="I177" t="n">
        <v>2</v>
      </c>
      <c r="J177" t="n">
        <v>1</v>
      </c>
      <c r="K177" t="n">
        <v>0</v>
      </c>
      <c r="L177" t="n">
        <v>0</v>
      </c>
      <c r="M177" t="n">
        <v>0</v>
      </c>
      <c r="N177" t="n">
        <v>0</v>
      </c>
      <c r="O177" t="n">
        <v>1</v>
      </c>
      <c r="P177" t="n">
        <v>0</v>
      </c>
      <c r="Q177" t="n">
        <v>4</v>
      </c>
      <c r="R177" s="2" t="inlineStr">
        <is>
          <t>Spillkråka
Björksplintborre
Västlig hakmossa
Revlummer</t>
        </is>
      </c>
      <c r="S177">
        <f>HYPERLINK("https://klasma.github.io/Logging_1462/artfynd/A 25298-2024 artfynd.xlsx", "A 25298-2024")</f>
        <v/>
      </c>
      <c r="T177">
        <f>HYPERLINK("https://klasma.github.io/Logging_1462/kartor/A 25298-2024 karta.png", "A 25298-2024")</f>
        <v/>
      </c>
      <c r="V177">
        <f>HYPERLINK("https://klasma.github.io/Logging_1462/klagomål/A 25298-2024 FSC-klagomål.docx", "A 25298-2024")</f>
        <v/>
      </c>
      <c r="W177">
        <f>HYPERLINK("https://klasma.github.io/Logging_1462/klagomålsmail/A 25298-2024 FSC-klagomål mail.docx", "A 25298-2024")</f>
        <v/>
      </c>
      <c r="X177">
        <f>HYPERLINK("https://klasma.github.io/Logging_1462/tillsyn/A 25298-2024 tillsynsbegäran.docx", "A 25298-2024")</f>
        <v/>
      </c>
      <c r="Y177">
        <f>HYPERLINK("https://klasma.github.io/Logging_1462/tillsynsmail/A 25298-2024 tillsynsbegäran mail.docx", "A 25298-2024")</f>
        <v/>
      </c>
      <c r="Z177">
        <f>HYPERLINK("https://klasma.github.io/Logging_1462/fåglar/A 25298-2024 prioriterade fågelarter.docx", "A 25298-2024")</f>
        <v/>
      </c>
    </row>
    <row r="178" ht="15" customHeight="1">
      <c r="A178" t="inlineStr">
        <is>
          <t>A 19934-2025</t>
        </is>
      </c>
      <c r="B178" s="1" t="n">
        <v>45771</v>
      </c>
      <c r="C178" s="1" t="n">
        <v>46011</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13359-2024</t>
        </is>
      </c>
      <c r="B179" s="1" t="n">
        <v>45387.35072916667</v>
      </c>
      <c r="C179" s="1" t="n">
        <v>46011</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19284-2022</t>
        </is>
      </c>
      <c r="B180" s="1" t="n">
        <v>44692</v>
      </c>
      <c r="C180" s="1" t="n">
        <v>46011</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13517-2024</t>
        </is>
      </c>
      <c r="B181" s="1" t="n">
        <v>45387</v>
      </c>
      <c r="C181" s="1" t="n">
        <v>46011</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14442-2025</t>
        </is>
      </c>
      <c r="B182" s="1" t="n">
        <v>45741.51986111111</v>
      </c>
      <c r="C182" s="1" t="n">
        <v>46011</v>
      </c>
      <c r="D182" t="inlineStr">
        <is>
          <t>VÄSTRA GÖTALANDS LÄN</t>
        </is>
      </c>
      <c r="E182" t="inlineStr">
        <is>
          <t>LERUM</t>
        </is>
      </c>
      <c r="G182" t="n">
        <v>2</v>
      </c>
      <c r="H182" t="n">
        <v>3</v>
      </c>
      <c r="I182" t="n">
        <v>0</v>
      </c>
      <c r="J182" t="n">
        <v>1</v>
      </c>
      <c r="K182" t="n">
        <v>0</v>
      </c>
      <c r="L182" t="n">
        <v>2</v>
      </c>
      <c r="M182" t="n">
        <v>0</v>
      </c>
      <c r="N182" t="n">
        <v>0</v>
      </c>
      <c r="O182" t="n">
        <v>3</v>
      </c>
      <c r="P182" t="n">
        <v>2</v>
      </c>
      <c r="Q182" t="n">
        <v>4</v>
      </c>
      <c r="R182" s="2" t="inlineStr">
        <is>
          <t>Ask
Grönfink
Mindre hackspett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74306-2021</t>
        </is>
      </c>
      <c r="B183" s="1" t="n">
        <v>44559</v>
      </c>
      <c r="C183" s="1" t="n">
        <v>46011</v>
      </c>
      <c r="D183" t="inlineStr">
        <is>
          <t>VÄSTRA GÖTALANDS LÄN</t>
        </is>
      </c>
      <c r="E183" t="inlineStr">
        <is>
          <t>ORUST</t>
        </is>
      </c>
      <c r="G183" t="n">
        <v>14.6</v>
      </c>
      <c r="H183" t="n">
        <v>1</v>
      </c>
      <c r="I183" t="n">
        <v>0</v>
      </c>
      <c r="J183" t="n">
        <v>3</v>
      </c>
      <c r="K183" t="n">
        <v>0</v>
      </c>
      <c r="L183" t="n">
        <v>0</v>
      </c>
      <c r="M183" t="n">
        <v>0</v>
      </c>
      <c r="N183" t="n">
        <v>0</v>
      </c>
      <c r="O183" t="n">
        <v>3</v>
      </c>
      <c r="P183" t="n">
        <v>0</v>
      </c>
      <c r="Q183" t="n">
        <v>4</v>
      </c>
      <c r="R183" s="2" t="inlineStr">
        <is>
          <t>Dvärglin
Kösa
Åkerrödtoppa
Revlummer</t>
        </is>
      </c>
      <c r="S183">
        <f>HYPERLINK("https://klasma.github.io/Logging_1421/artfynd/A 74306-2021 artfynd.xlsx", "A 74306-2021")</f>
        <v/>
      </c>
      <c r="T183">
        <f>HYPERLINK("https://klasma.github.io/Logging_1421/kartor/A 74306-2021 karta.png", "A 74306-2021")</f>
        <v/>
      </c>
      <c r="V183">
        <f>HYPERLINK("https://klasma.github.io/Logging_1421/klagomål/A 74306-2021 FSC-klagomål.docx", "A 74306-2021")</f>
        <v/>
      </c>
      <c r="W183">
        <f>HYPERLINK("https://klasma.github.io/Logging_1421/klagomålsmail/A 74306-2021 FSC-klagomål mail.docx", "A 74306-2021")</f>
        <v/>
      </c>
      <c r="X183">
        <f>HYPERLINK("https://klasma.github.io/Logging_1421/tillsyn/A 74306-2021 tillsynsbegäran.docx", "A 74306-2021")</f>
        <v/>
      </c>
      <c r="Y183">
        <f>HYPERLINK("https://klasma.github.io/Logging_1421/tillsynsmail/A 74306-2021 tillsynsbegäran mail.docx", "A 74306-2021")</f>
        <v/>
      </c>
    </row>
    <row r="184" ht="15" customHeight="1">
      <c r="A184" t="inlineStr">
        <is>
          <t>A 16723-2023</t>
        </is>
      </c>
      <c r="B184" s="1" t="n">
        <v>45030</v>
      </c>
      <c r="C184" s="1" t="n">
        <v>46011</v>
      </c>
      <c r="D184" t="inlineStr">
        <is>
          <t>VÄSTRA GÖTALANDS LÄN</t>
        </is>
      </c>
      <c r="E184" t="inlineStr">
        <is>
          <t>HÄRRYDA</t>
        </is>
      </c>
      <c r="G184" t="n">
        <v>2.3</v>
      </c>
      <c r="H184" t="n">
        <v>1</v>
      </c>
      <c r="I184" t="n">
        <v>3</v>
      </c>
      <c r="J184" t="n">
        <v>1</v>
      </c>
      <c r="K184" t="n">
        <v>0</v>
      </c>
      <c r="L184" t="n">
        <v>0</v>
      </c>
      <c r="M184" t="n">
        <v>0</v>
      </c>
      <c r="N184" t="n">
        <v>0</v>
      </c>
      <c r="O184" t="n">
        <v>1</v>
      </c>
      <c r="P184" t="n">
        <v>0</v>
      </c>
      <c r="Q184" t="n">
        <v>4</v>
      </c>
      <c r="R184" s="2" t="inlineStr">
        <is>
          <t>Spillkråka
Björksplintborre
Blåmossa
Kornknutmossa</t>
        </is>
      </c>
      <c r="S184">
        <f>HYPERLINK("https://klasma.github.io/Logging_1401/artfynd/A 16723-2023 artfynd.xlsx", "A 16723-2023")</f>
        <v/>
      </c>
      <c r="T184">
        <f>HYPERLINK("https://klasma.github.io/Logging_1401/kartor/A 16723-2023 karta.png", "A 16723-2023")</f>
        <v/>
      </c>
      <c r="V184">
        <f>HYPERLINK("https://klasma.github.io/Logging_1401/klagomål/A 16723-2023 FSC-klagomål.docx", "A 16723-2023")</f>
        <v/>
      </c>
      <c r="W184">
        <f>HYPERLINK("https://klasma.github.io/Logging_1401/klagomålsmail/A 16723-2023 FSC-klagomål mail.docx", "A 16723-2023")</f>
        <v/>
      </c>
      <c r="X184">
        <f>HYPERLINK("https://klasma.github.io/Logging_1401/tillsyn/A 16723-2023 tillsynsbegäran.docx", "A 16723-2023")</f>
        <v/>
      </c>
      <c r="Y184">
        <f>HYPERLINK("https://klasma.github.io/Logging_1401/tillsynsmail/A 16723-2023 tillsynsbegäran mail.docx", "A 16723-2023")</f>
        <v/>
      </c>
      <c r="Z184">
        <f>HYPERLINK("https://klasma.github.io/Logging_1401/fåglar/A 16723-2023 prioriterade fågelarter.docx", "A 16723-2023")</f>
        <v/>
      </c>
    </row>
    <row r="185" ht="15" customHeight="1">
      <c r="A185" t="inlineStr">
        <is>
          <t>A 631-2025</t>
        </is>
      </c>
      <c r="B185" s="1" t="n">
        <v>45664.6258912037</v>
      </c>
      <c r="C185" s="1" t="n">
        <v>46011</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65099-2023</t>
        </is>
      </c>
      <c r="B186" s="1" t="n">
        <v>45288</v>
      </c>
      <c r="C186" s="1" t="n">
        <v>46011</v>
      </c>
      <c r="D186" t="inlineStr">
        <is>
          <t>VÄSTRA GÖTALANDS LÄN</t>
        </is>
      </c>
      <c r="E186" t="inlineStr">
        <is>
          <t>ORUST</t>
        </is>
      </c>
      <c r="G186" t="n">
        <v>17.8</v>
      </c>
      <c r="H186" t="n">
        <v>1</v>
      </c>
      <c r="I186" t="n">
        <v>2</v>
      </c>
      <c r="J186" t="n">
        <v>0</v>
      </c>
      <c r="K186" t="n">
        <v>2</v>
      </c>
      <c r="L186" t="n">
        <v>0</v>
      </c>
      <c r="M186" t="n">
        <v>0</v>
      </c>
      <c r="N186" t="n">
        <v>0</v>
      </c>
      <c r="O186" t="n">
        <v>2</v>
      </c>
      <c r="P186" t="n">
        <v>2</v>
      </c>
      <c r="Q186" t="n">
        <v>4</v>
      </c>
      <c r="R186" s="2" t="inlineStr">
        <is>
          <t>Blockskapania
Knärot
Grov fjädermossa
Stor revmossa</t>
        </is>
      </c>
      <c r="S186">
        <f>HYPERLINK("https://klasma.github.io/Logging_1421/artfynd/A 65099-2023 artfynd.xlsx", "A 65099-2023")</f>
        <v/>
      </c>
      <c r="T186">
        <f>HYPERLINK("https://klasma.github.io/Logging_1421/kartor/A 65099-2023 karta.png", "A 65099-2023")</f>
        <v/>
      </c>
      <c r="U186">
        <f>HYPERLINK("https://klasma.github.io/Logging_1421/knärot/A 65099-2023 karta knärot.png", "A 65099-2023")</f>
        <v/>
      </c>
      <c r="V186">
        <f>HYPERLINK("https://klasma.github.io/Logging_1421/klagomål/A 65099-2023 FSC-klagomål.docx", "A 65099-2023")</f>
        <v/>
      </c>
      <c r="W186">
        <f>HYPERLINK("https://klasma.github.io/Logging_1421/klagomålsmail/A 65099-2023 FSC-klagomål mail.docx", "A 65099-2023")</f>
        <v/>
      </c>
      <c r="X186">
        <f>HYPERLINK("https://klasma.github.io/Logging_1421/tillsyn/A 65099-2023 tillsynsbegäran.docx", "A 65099-2023")</f>
        <v/>
      </c>
      <c r="Y186">
        <f>HYPERLINK("https://klasma.github.io/Logging_1421/tillsynsmail/A 65099-2023 tillsynsbegäran mail.docx", "A 65099-2023")</f>
        <v/>
      </c>
    </row>
    <row r="187" ht="15" customHeight="1">
      <c r="A187" t="inlineStr">
        <is>
          <t>A 3412-2024</t>
        </is>
      </c>
      <c r="B187" s="1" t="n">
        <v>45319.64564814815</v>
      </c>
      <c r="C187" s="1" t="n">
        <v>46011</v>
      </c>
      <c r="D187" t="inlineStr">
        <is>
          <t>VÄSTRA GÖTALANDS LÄN</t>
        </is>
      </c>
      <c r="E187" t="inlineStr">
        <is>
          <t>BENGTSFORS</t>
        </is>
      </c>
      <c r="G187" t="n">
        <v>4.3</v>
      </c>
      <c r="H187" t="n">
        <v>1</v>
      </c>
      <c r="I187" t="n">
        <v>2</v>
      </c>
      <c r="J187" t="n">
        <v>1</v>
      </c>
      <c r="K187" t="n">
        <v>0</v>
      </c>
      <c r="L187" t="n">
        <v>0</v>
      </c>
      <c r="M187" t="n">
        <v>0</v>
      </c>
      <c r="N187" t="n">
        <v>0</v>
      </c>
      <c r="O187" t="n">
        <v>1</v>
      </c>
      <c r="P187" t="n">
        <v>0</v>
      </c>
      <c r="Q187" t="n">
        <v>4</v>
      </c>
      <c r="R187" s="2" t="inlineStr">
        <is>
          <t>Ullticka
Blåmossa
Vedticka
Tjäder</t>
        </is>
      </c>
      <c r="S187">
        <f>HYPERLINK("https://klasma.github.io/Logging_1460/artfynd/A 3412-2024 artfynd.xlsx", "A 3412-2024")</f>
        <v/>
      </c>
      <c r="T187">
        <f>HYPERLINK("https://klasma.github.io/Logging_1460/kartor/A 3412-2024 karta.png", "A 3412-2024")</f>
        <v/>
      </c>
      <c r="V187">
        <f>HYPERLINK("https://klasma.github.io/Logging_1460/klagomål/A 3412-2024 FSC-klagomål.docx", "A 3412-2024")</f>
        <v/>
      </c>
      <c r="W187">
        <f>HYPERLINK("https://klasma.github.io/Logging_1460/klagomålsmail/A 3412-2024 FSC-klagomål mail.docx", "A 3412-2024")</f>
        <v/>
      </c>
      <c r="X187">
        <f>HYPERLINK("https://klasma.github.io/Logging_1460/tillsyn/A 3412-2024 tillsynsbegäran.docx", "A 3412-2024")</f>
        <v/>
      </c>
      <c r="Y187">
        <f>HYPERLINK("https://klasma.github.io/Logging_1460/tillsynsmail/A 3412-2024 tillsynsbegäran mail.docx", "A 3412-2024")</f>
        <v/>
      </c>
      <c r="Z187">
        <f>HYPERLINK("https://klasma.github.io/Logging_1460/fåglar/A 3412-2024 prioriterade fågelarter.docx", "A 3412-2024")</f>
        <v/>
      </c>
    </row>
    <row r="188" ht="15" customHeight="1">
      <c r="A188" t="inlineStr">
        <is>
          <t>A 11235-2025</t>
        </is>
      </c>
      <c r="B188" s="1" t="n">
        <v>45726.36305555556</v>
      </c>
      <c r="C188" s="1" t="n">
        <v>46011</v>
      </c>
      <c r="D188" t="inlineStr">
        <is>
          <t>VÄSTRA GÖTALANDS LÄN</t>
        </is>
      </c>
      <c r="E188" t="inlineStr">
        <is>
          <t>STENUNGSUND</t>
        </is>
      </c>
      <c r="G188" t="n">
        <v>4.5</v>
      </c>
      <c r="H188" t="n">
        <v>1</v>
      </c>
      <c r="I188" t="n">
        <v>3</v>
      </c>
      <c r="J188" t="n">
        <v>0</v>
      </c>
      <c r="K188" t="n">
        <v>0</v>
      </c>
      <c r="L188" t="n">
        <v>0</v>
      </c>
      <c r="M188" t="n">
        <v>0</v>
      </c>
      <c r="N188" t="n">
        <v>0</v>
      </c>
      <c r="O188" t="n">
        <v>0</v>
      </c>
      <c r="P188" t="n">
        <v>0</v>
      </c>
      <c r="Q188" t="n">
        <v>4</v>
      </c>
      <c r="R188" s="2" t="inlineStr">
        <is>
          <t>Blåmossa
Fällmossa
Klippfrullania
Revlummer</t>
        </is>
      </c>
      <c r="S188">
        <f>HYPERLINK("https://klasma.github.io/Logging_1415/artfynd/A 11235-2025 artfynd.xlsx", "A 11235-2025")</f>
        <v/>
      </c>
      <c r="T188">
        <f>HYPERLINK("https://klasma.github.io/Logging_1415/kartor/A 11235-2025 karta.png", "A 11235-2025")</f>
        <v/>
      </c>
      <c r="V188">
        <f>HYPERLINK("https://klasma.github.io/Logging_1415/klagomål/A 11235-2025 FSC-klagomål.docx", "A 11235-2025")</f>
        <v/>
      </c>
      <c r="W188">
        <f>HYPERLINK("https://klasma.github.io/Logging_1415/klagomålsmail/A 11235-2025 FSC-klagomål mail.docx", "A 11235-2025")</f>
        <v/>
      </c>
      <c r="X188">
        <f>HYPERLINK("https://klasma.github.io/Logging_1415/tillsyn/A 11235-2025 tillsynsbegäran.docx", "A 11235-2025")</f>
        <v/>
      </c>
      <c r="Y188">
        <f>HYPERLINK("https://klasma.github.io/Logging_1415/tillsynsmail/A 11235-2025 tillsynsbegäran mail.docx", "A 11235-2025")</f>
        <v/>
      </c>
    </row>
    <row r="189" ht="15" customHeight="1">
      <c r="A189" t="inlineStr">
        <is>
          <t>A 25441-2022</t>
        </is>
      </c>
      <c r="B189" s="1" t="n">
        <v>44732</v>
      </c>
      <c r="C189" s="1" t="n">
        <v>46011</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46011</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46011</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46011</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46011</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46011</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46011</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36627-2022</t>
        </is>
      </c>
      <c r="B196" s="1" t="n">
        <v>44804</v>
      </c>
      <c r="C196" s="1" t="n">
        <v>46011</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31621-2024</t>
        </is>
      </c>
      <c r="B197" s="1" t="n">
        <v>45506.47185185185</v>
      </c>
      <c r="C197" s="1" t="n">
        <v>46011</v>
      </c>
      <c r="D197" t="inlineStr">
        <is>
          <t>VÄSTRA GÖTALANDS LÄN</t>
        </is>
      </c>
      <c r="E197" t="inlineStr">
        <is>
          <t>SKÖVDE</t>
        </is>
      </c>
      <c r="G197" t="n">
        <v>1.3</v>
      </c>
      <c r="H197" t="n">
        <v>0</v>
      </c>
      <c r="I197" t="n">
        <v>0</v>
      </c>
      <c r="J197" t="n">
        <v>1</v>
      </c>
      <c r="K197" t="n">
        <v>1</v>
      </c>
      <c r="L197" t="n">
        <v>1</v>
      </c>
      <c r="M197" t="n">
        <v>0</v>
      </c>
      <c r="N197" t="n">
        <v>0</v>
      </c>
      <c r="O197" t="n">
        <v>3</v>
      </c>
      <c r="P197" t="n">
        <v>2</v>
      </c>
      <c r="Q197" t="n">
        <v>3</v>
      </c>
      <c r="R197" s="2" t="inlineStr">
        <is>
          <t>Ask
Plattsäv
Majviva</t>
        </is>
      </c>
      <c r="S197">
        <f>HYPERLINK("https://klasma.github.io/Logging_1496/artfynd/A 31621-2024 artfynd.xlsx", "A 31621-2024")</f>
        <v/>
      </c>
      <c r="T197">
        <f>HYPERLINK("https://klasma.github.io/Logging_1496/kartor/A 31621-2024 karta.png", "A 31621-2024")</f>
        <v/>
      </c>
      <c r="V197">
        <f>HYPERLINK("https://klasma.github.io/Logging_1496/klagomål/A 31621-2024 FSC-klagomål.docx", "A 31621-2024")</f>
        <v/>
      </c>
      <c r="W197">
        <f>HYPERLINK("https://klasma.github.io/Logging_1496/klagomålsmail/A 31621-2024 FSC-klagomål mail.docx", "A 31621-2024")</f>
        <v/>
      </c>
      <c r="X197">
        <f>HYPERLINK("https://klasma.github.io/Logging_1496/tillsyn/A 31621-2024 tillsynsbegäran.docx", "A 31621-2024")</f>
        <v/>
      </c>
      <c r="Y197">
        <f>HYPERLINK("https://klasma.github.io/Logging_1496/tillsynsmail/A 31621-2024 tillsynsbegäran mail.docx", "A 31621-2024")</f>
        <v/>
      </c>
    </row>
    <row r="198" ht="15" customHeight="1">
      <c r="A198" t="inlineStr">
        <is>
          <t>A 72588-2021</t>
        </is>
      </c>
      <c r="B198" s="1" t="n">
        <v>44546</v>
      </c>
      <c r="C198" s="1" t="n">
        <v>46011</v>
      </c>
      <c r="D198" t="inlineStr">
        <is>
          <t>VÄSTRA GÖTALANDS LÄN</t>
        </is>
      </c>
      <c r="E198" t="inlineStr">
        <is>
          <t>ORUST</t>
        </is>
      </c>
      <c r="G198" t="n">
        <v>21.8</v>
      </c>
      <c r="H198" t="n">
        <v>2</v>
      </c>
      <c r="I198" t="n">
        <v>1</v>
      </c>
      <c r="J198" t="n">
        <v>1</v>
      </c>
      <c r="K198" t="n">
        <v>1</v>
      </c>
      <c r="L198" t="n">
        <v>0</v>
      </c>
      <c r="M198" t="n">
        <v>0</v>
      </c>
      <c r="N198" t="n">
        <v>0</v>
      </c>
      <c r="O198" t="n">
        <v>2</v>
      </c>
      <c r="P198" t="n">
        <v>1</v>
      </c>
      <c r="Q198" t="n">
        <v>3</v>
      </c>
      <c r="R198" s="2" t="inlineStr">
        <is>
          <t>Knärot
Spillkråka
Kambräken</t>
        </is>
      </c>
      <c r="S198">
        <f>HYPERLINK("https://klasma.github.io/Logging_1421/artfynd/A 72588-2021 artfynd.xlsx", "A 72588-2021")</f>
        <v/>
      </c>
      <c r="T198">
        <f>HYPERLINK("https://klasma.github.io/Logging_1421/kartor/A 72588-2021 karta.png", "A 72588-2021")</f>
        <v/>
      </c>
      <c r="U198">
        <f>HYPERLINK("https://klasma.github.io/Logging_1421/knärot/A 72588-2021 karta knärot.png", "A 72588-2021")</f>
        <v/>
      </c>
      <c r="V198">
        <f>HYPERLINK("https://klasma.github.io/Logging_1421/klagomål/A 72588-2021 FSC-klagomål.docx", "A 72588-2021")</f>
        <v/>
      </c>
      <c r="W198">
        <f>HYPERLINK("https://klasma.github.io/Logging_1421/klagomålsmail/A 72588-2021 FSC-klagomål mail.docx", "A 72588-2021")</f>
        <v/>
      </c>
      <c r="X198">
        <f>HYPERLINK("https://klasma.github.io/Logging_1421/tillsyn/A 72588-2021 tillsynsbegäran.docx", "A 72588-2021")</f>
        <v/>
      </c>
      <c r="Y198">
        <f>HYPERLINK("https://klasma.github.io/Logging_1421/tillsynsmail/A 72588-2021 tillsynsbegäran mail.docx", "A 72588-2021")</f>
        <v/>
      </c>
      <c r="Z198">
        <f>HYPERLINK("https://klasma.github.io/Logging_1421/fåglar/A 72588-2021 prioriterade fågelarter.docx", "A 72588-2021")</f>
        <v/>
      </c>
    </row>
    <row r="199" ht="15" customHeight="1">
      <c r="A199" t="inlineStr">
        <is>
          <t>A 22630-2025</t>
        </is>
      </c>
      <c r="B199" s="1" t="n">
        <v>45789</v>
      </c>
      <c r="C199" s="1" t="n">
        <v>46011</v>
      </c>
      <c r="D199" t="inlineStr">
        <is>
          <t>VÄSTRA GÖTALANDS LÄN</t>
        </is>
      </c>
      <c r="E199" t="inlineStr">
        <is>
          <t>FALKÖPING</t>
        </is>
      </c>
      <c r="G199" t="n">
        <v>6</v>
      </c>
      <c r="H199" t="n">
        <v>1</v>
      </c>
      <c r="I199" t="n">
        <v>1</v>
      </c>
      <c r="J199" t="n">
        <v>1</v>
      </c>
      <c r="K199" t="n">
        <v>0</v>
      </c>
      <c r="L199" t="n">
        <v>0</v>
      </c>
      <c r="M199" t="n">
        <v>0</v>
      </c>
      <c r="N199" t="n">
        <v>0</v>
      </c>
      <c r="O199" t="n">
        <v>1</v>
      </c>
      <c r="P199" t="n">
        <v>0</v>
      </c>
      <c r="Q199" t="n">
        <v>3</v>
      </c>
      <c r="R199" s="2" t="inlineStr">
        <is>
          <t>Svinrot
Kornknutmossa
Gullviva</t>
        </is>
      </c>
      <c r="S199">
        <f>HYPERLINK("https://klasma.github.io/Logging_1499/artfynd/A 22630-2025 artfynd.xlsx", "A 22630-2025")</f>
        <v/>
      </c>
      <c r="T199">
        <f>HYPERLINK("https://klasma.github.io/Logging_1499/kartor/A 22630-2025 karta.png", "A 22630-2025")</f>
        <v/>
      </c>
      <c r="V199">
        <f>HYPERLINK("https://klasma.github.io/Logging_1499/klagomål/A 22630-2025 FSC-klagomål.docx", "A 22630-2025")</f>
        <v/>
      </c>
      <c r="W199">
        <f>HYPERLINK("https://klasma.github.io/Logging_1499/klagomålsmail/A 22630-2025 FSC-klagomål mail.docx", "A 22630-2025")</f>
        <v/>
      </c>
      <c r="X199">
        <f>HYPERLINK("https://klasma.github.io/Logging_1499/tillsyn/A 22630-2025 tillsynsbegäran.docx", "A 22630-2025")</f>
        <v/>
      </c>
      <c r="Y199">
        <f>HYPERLINK("https://klasma.github.io/Logging_1499/tillsynsmail/A 22630-2025 tillsynsbegäran mail.docx", "A 22630-2025")</f>
        <v/>
      </c>
    </row>
    <row r="200" ht="15" customHeight="1">
      <c r="A200" t="inlineStr">
        <is>
          <t>A 47058-2023</t>
        </is>
      </c>
      <c r="B200" s="1" t="n">
        <v>45201</v>
      </c>
      <c r="C200" s="1" t="n">
        <v>46011</v>
      </c>
      <c r="D200" t="inlineStr">
        <is>
          <t>VÄSTRA GÖTALANDS LÄN</t>
        </is>
      </c>
      <c r="E200" t="inlineStr">
        <is>
          <t>SKÖVDE</t>
        </is>
      </c>
      <c r="G200" t="n">
        <v>5.6</v>
      </c>
      <c r="H200" t="n">
        <v>3</v>
      </c>
      <c r="I200" t="n">
        <v>1</v>
      </c>
      <c r="J200" t="n">
        <v>0</v>
      </c>
      <c r="K200" t="n">
        <v>0</v>
      </c>
      <c r="L200" t="n">
        <v>0</v>
      </c>
      <c r="M200" t="n">
        <v>0</v>
      </c>
      <c r="N200" t="n">
        <v>0</v>
      </c>
      <c r="O200" t="n">
        <v>0</v>
      </c>
      <c r="P200" t="n">
        <v>0</v>
      </c>
      <c r="Q200" t="n">
        <v>3</v>
      </c>
      <c r="R200" s="2" t="inlineStr">
        <is>
          <t>Korallrot
Grönvit nattviol
Revlummer</t>
        </is>
      </c>
      <c r="S200">
        <f>HYPERLINK("https://klasma.github.io/Logging_1496/artfynd/A 47058-2023 artfynd.xlsx", "A 47058-2023")</f>
        <v/>
      </c>
      <c r="T200">
        <f>HYPERLINK("https://klasma.github.io/Logging_1496/kartor/A 47058-2023 karta.png", "A 47058-2023")</f>
        <v/>
      </c>
      <c r="V200">
        <f>HYPERLINK("https://klasma.github.io/Logging_1496/klagomål/A 47058-2023 FSC-klagomål.docx", "A 47058-2023")</f>
        <v/>
      </c>
      <c r="W200">
        <f>HYPERLINK("https://klasma.github.io/Logging_1496/klagomålsmail/A 47058-2023 FSC-klagomål mail.docx", "A 47058-2023")</f>
        <v/>
      </c>
      <c r="X200">
        <f>HYPERLINK("https://klasma.github.io/Logging_1496/tillsyn/A 47058-2023 tillsynsbegäran.docx", "A 47058-2023")</f>
        <v/>
      </c>
      <c r="Y200">
        <f>HYPERLINK("https://klasma.github.io/Logging_1496/tillsynsmail/A 47058-2023 tillsynsbegäran mail.docx", "A 47058-2023")</f>
        <v/>
      </c>
    </row>
    <row r="201" ht="15" customHeight="1">
      <c r="A201" t="inlineStr">
        <is>
          <t>A 39553-2024</t>
        </is>
      </c>
      <c r="B201" s="1" t="n">
        <v>45551</v>
      </c>
      <c r="C201" s="1" t="n">
        <v>46011</v>
      </c>
      <c r="D201" t="inlineStr">
        <is>
          <t>VÄSTRA GÖTALANDS LÄN</t>
        </is>
      </c>
      <c r="E201" t="inlineStr">
        <is>
          <t>GULLSPÅNG</t>
        </is>
      </c>
      <c r="G201" t="n">
        <v>11.5</v>
      </c>
      <c r="H201" t="n">
        <v>3</v>
      </c>
      <c r="I201" t="n">
        <v>0</v>
      </c>
      <c r="J201" t="n">
        <v>2</v>
      </c>
      <c r="K201" t="n">
        <v>0</v>
      </c>
      <c r="L201" t="n">
        <v>0</v>
      </c>
      <c r="M201" t="n">
        <v>0</v>
      </c>
      <c r="N201" t="n">
        <v>0</v>
      </c>
      <c r="O201" t="n">
        <v>2</v>
      </c>
      <c r="P201" t="n">
        <v>0</v>
      </c>
      <c r="Q201" t="n">
        <v>3</v>
      </c>
      <c r="R201" s="2" t="inlineStr">
        <is>
          <t>Gulsparv
Ärtsångare
Grönsiska</t>
        </is>
      </c>
      <c r="S201">
        <f>HYPERLINK("https://klasma.github.io/Logging_1447/artfynd/A 39553-2024 artfynd.xlsx", "A 39553-2024")</f>
        <v/>
      </c>
      <c r="T201">
        <f>HYPERLINK("https://klasma.github.io/Logging_1447/kartor/A 39553-2024 karta.png", "A 39553-2024")</f>
        <v/>
      </c>
      <c r="V201">
        <f>HYPERLINK("https://klasma.github.io/Logging_1447/klagomål/A 39553-2024 FSC-klagomål.docx", "A 39553-2024")</f>
        <v/>
      </c>
      <c r="W201">
        <f>HYPERLINK("https://klasma.github.io/Logging_1447/klagomålsmail/A 39553-2024 FSC-klagomål mail.docx", "A 39553-2024")</f>
        <v/>
      </c>
      <c r="X201">
        <f>HYPERLINK("https://klasma.github.io/Logging_1447/tillsyn/A 39553-2024 tillsynsbegäran.docx", "A 39553-2024")</f>
        <v/>
      </c>
      <c r="Y201">
        <f>HYPERLINK("https://klasma.github.io/Logging_1447/tillsynsmail/A 39553-2024 tillsynsbegäran mail.docx", "A 39553-2024")</f>
        <v/>
      </c>
      <c r="Z201">
        <f>HYPERLINK("https://klasma.github.io/Logging_1447/fåglar/A 39553-2024 prioriterade fågelarter.docx", "A 39553-2024")</f>
        <v/>
      </c>
    </row>
    <row r="202" ht="15" customHeight="1">
      <c r="A202" t="inlineStr">
        <is>
          <t>A 13261-2025</t>
        </is>
      </c>
      <c r="B202" s="1" t="n">
        <v>45735.52981481481</v>
      </c>
      <c r="C202" s="1" t="n">
        <v>46011</v>
      </c>
      <c r="D202" t="inlineStr">
        <is>
          <t>VÄSTRA GÖTALANDS LÄN</t>
        </is>
      </c>
      <c r="E202" t="inlineStr">
        <is>
          <t>SVENLJUNGA</t>
        </is>
      </c>
      <c r="G202" t="n">
        <v>6.2</v>
      </c>
      <c r="H202" t="n">
        <v>0</v>
      </c>
      <c r="I202" t="n">
        <v>3</v>
      </c>
      <c r="J202" t="n">
        <v>0</v>
      </c>
      <c r="K202" t="n">
        <v>0</v>
      </c>
      <c r="L202" t="n">
        <v>0</v>
      </c>
      <c r="M202" t="n">
        <v>0</v>
      </c>
      <c r="N202" t="n">
        <v>0</v>
      </c>
      <c r="O202" t="n">
        <v>0</v>
      </c>
      <c r="P202" t="n">
        <v>0</v>
      </c>
      <c r="Q202" t="n">
        <v>3</v>
      </c>
      <c r="R202" s="2" t="inlineStr">
        <is>
          <t>Bronshjon
Thomsons trägnagare
Vågbandad barkbock</t>
        </is>
      </c>
      <c r="S202">
        <f>HYPERLINK("https://klasma.github.io/Logging_1465/artfynd/A 13261-2025 artfynd.xlsx", "A 13261-2025")</f>
        <v/>
      </c>
      <c r="T202">
        <f>HYPERLINK("https://klasma.github.io/Logging_1465/kartor/A 13261-2025 karta.png", "A 13261-2025")</f>
        <v/>
      </c>
      <c r="V202">
        <f>HYPERLINK("https://klasma.github.io/Logging_1465/klagomål/A 13261-2025 FSC-klagomål.docx", "A 13261-2025")</f>
        <v/>
      </c>
      <c r="W202">
        <f>HYPERLINK("https://klasma.github.io/Logging_1465/klagomålsmail/A 13261-2025 FSC-klagomål mail.docx", "A 13261-2025")</f>
        <v/>
      </c>
      <c r="X202">
        <f>HYPERLINK("https://klasma.github.io/Logging_1465/tillsyn/A 13261-2025 tillsynsbegäran.docx", "A 13261-2025")</f>
        <v/>
      </c>
      <c r="Y202">
        <f>HYPERLINK("https://klasma.github.io/Logging_1465/tillsynsmail/A 13261-2025 tillsynsbegäran mail.docx", "A 13261-2025")</f>
        <v/>
      </c>
    </row>
    <row r="203" ht="15" customHeight="1">
      <c r="A203" t="inlineStr">
        <is>
          <t>A 55708-2023</t>
        </is>
      </c>
      <c r="B203" s="1" t="n">
        <v>45239</v>
      </c>
      <c r="C203" s="1" t="n">
        <v>46011</v>
      </c>
      <c r="D203" t="inlineStr">
        <is>
          <t>VÄSTRA GÖTALANDS LÄN</t>
        </is>
      </c>
      <c r="E203" t="inlineStr">
        <is>
          <t>HÄRRYDA</t>
        </is>
      </c>
      <c r="G203" t="n">
        <v>5.4</v>
      </c>
      <c r="H203" t="n">
        <v>2</v>
      </c>
      <c r="I203" t="n">
        <v>0</v>
      </c>
      <c r="J203" t="n">
        <v>2</v>
      </c>
      <c r="K203" t="n">
        <v>0</v>
      </c>
      <c r="L203" t="n">
        <v>0</v>
      </c>
      <c r="M203" t="n">
        <v>0</v>
      </c>
      <c r="N203" t="n">
        <v>0</v>
      </c>
      <c r="O203" t="n">
        <v>2</v>
      </c>
      <c r="P203" t="n">
        <v>0</v>
      </c>
      <c r="Q203" t="n">
        <v>3</v>
      </c>
      <c r="R203" s="2" t="inlineStr">
        <is>
          <t>Grönhjon
Talltita
Kungsfågel</t>
        </is>
      </c>
      <c r="S203">
        <f>HYPERLINK("https://klasma.github.io/Logging_1401/artfynd/A 55708-2023 artfynd.xlsx", "A 55708-2023")</f>
        <v/>
      </c>
      <c r="T203">
        <f>HYPERLINK("https://klasma.github.io/Logging_1401/kartor/A 55708-2023 karta.png", "A 55708-2023")</f>
        <v/>
      </c>
      <c r="V203">
        <f>HYPERLINK("https://klasma.github.io/Logging_1401/klagomål/A 55708-2023 FSC-klagomål.docx", "A 55708-2023")</f>
        <v/>
      </c>
      <c r="W203">
        <f>HYPERLINK("https://klasma.github.io/Logging_1401/klagomålsmail/A 55708-2023 FSC-klagomål mail.docx", "A 55708-2023")</f>
        <v/>
      </c>
      <c r="X203">
        <f>HYPERLINK("https://klasma.github.io/Logging_1401/tillsyn/A 55708-2023 tillsynsbegäran.docx", "A 55708-2023")</f>
        <v/>
      </c>
      <c r="Y203">
        <f>HYPERLINK("https://klasma.github.io/Logging_1401/tillsynsmail/A 55708-2023 tillsynsbegäran mail.docx", "A 55708-2023")</f>
        <v/>
      </c>
      <c r="Z203">
        <f>HYPERLINK("https://klasma.github.io/Logging_1401/fåglar/A 55708-2023 prioriterade fågelarter.docx", "A 55708-2023")</f>
        <v/>
      </c>
    </row>
    <row r="204" ht="15" customHeight="1">
      <c r="A204" t="inlineStr">
        <is>
          <t>A 10833-2025</t>
        </is>
      </c>
      <c r="B204" s="1" t="n">
        <v>45722.5666550926</v>
      </c>
      <c r="C204" s="1" t="n">
        <v>46011</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44132-2025</t>
        </is>
      </c>
      <c r="B205" s="1" t="n">
        <v>45915.58515046296</v>
      </c>
      <c r="C205" s="1" t="n">
        <v>46011</v>
      </c>
      <c r="D205" t="inlineStr">
        <is>
          <t>VÄSTRA GÖTALANDS LÄN</t>
        </is>
      </c>
      <c r="E205" t="inlineStr">
        <is>
          <t>KUNGÄLV</t>
        </is>
      </c>
      <c r="F205" t="inlineStr">
        <is>
          <t>Kommuner</t>
        </is>
      </c>
      <c r="G205" t="n">
        <v>1.8</v>
      </c>
      <c r="H205" t="n">
        <v>3</v>
      </c>
      <c r="I205" t="n">
        <v>0</v>
      </c>
      <c r="J205" t="n">
        <v>2</v>
      </c>
      <c r="K205" t="n">
        <v>0</v>
      </c>
      <c r="L205" t="n">
        <v>0</v>
      </c>
      <c r="M205" t="n">
        <v>0</v>
      </c>
      <c r="N205" t="n">
        <v>0</v>
      </c>
      <c r="O205" t="n">
        <v>2</v>
      </c>
      <c r="P205" t="n">
        <v>0</v>
      </c>
      <c r="Q205" t="n">
        <v>3</v>
      </c>
      <c r="R205" s="2" t="inlineStr">
        <is>
          <t>Grönsångare
Svartvit flugsnappare
Kungsfågel</t>
        </is>
      </c>
      <c r="S205">
        <f>HYPERLINK("https://klasma.github.io/Logging_1482/artfynd/A 44132-2025 artfynd.xlsx", "A 44132-2025")</f>
        <v/>
      </c>
      <c r="T205">
        <f>HYPERLINK("https://klasma.github.io/Logging_1482/kartor/A 44132-2025 karta.png", "A 44132-2025")</f>
        <v/>
      </c>
      <c r="V205">
        <f>HYPERLINK("https://klasma.github.io/Logging_1482/klagomål/A 44132-2025 FSC-klagomål.docx", "A 44132-2025")</f>
        <v/>
      </c>
      <c r="W205">
        <f>HYPERLINK("https://klasma.github.io/Logging_1482/klagomålsmail/A 44132-2025 FSC-klagomål mail.docx", "A 44132-2025")</f>
        <v/>
      </c>
      <c r="X205">
        <f>HYPERLINK("https://klasma.github.io/Logging_1482/tillsyn/A 44132-2025 tillsynsbegäran.docx", "A 44132-2025")</f>
        <v/>
      </c>
      <c r="Y205">
        <f>HYPERLINK("https://klasma.github.io/Logging_1482/tillsynsmail/A 44132-2025 tillsynsbegäran mail.docx", "A 44132-2025")</f>
        <v/>
      </c>
      <c r="Z205">
        <f>HYPERLINK("https://klasma.github.io/Logging_1482/fåglar/A 44132-2025 prioriterade fågelarter.docx", "A 44132-2025")</f>
        <v/>
      </c>
    </row>
    <row r="206" ht="15" customHeight="1">
      <c r="A206" t="inlineStr">
        <is>
          <t>A 45604-2025</t>
        </is>
      </c>
      <c r="B206" s="1" t="n">
        <v>45922.69664351852</v>
      </c>
      <c r="C206" s="1" t="n">
        <v>46011</v>
      </c>
      <c r="D206" t="inlineStr">
        <is>
          <t>VÄSTRA GÖTALANDS LÄN</t>
        </is>
      </c>
      <c r="E206" t="inlineStr">
        <is>
          <t>STENUNGSUND</t>
        </is>
      </c>
      <c r="G206" t="n">
        <v>3.5</v>
      </c>
      <c r="H206" t="n">
        <v>2</v>
      </c>
      <c r="I206" t="n">
        <v>1</v>
      </c>
      <c r="J206" t="n">
        <v>0</v>
      </c>
      <c r="K206" t="n">
        <v>0</v>
      </c>
      <c r="L206" t="n">
        <v>0</v>
      </c>
      <c r="M206" t="n">
        <v>0</v>
      </c>
      <c r="N206" t="n">
        <v>0</v>
      </c>
      <c r="O206" t="n">
        <v>0</v>
      </c>
      <c r="P206" t="n">
        <v>0</v>
      </c>
      <c r="Q206" t="n">
        <v>3</v>
      </c>
      <c r="R206" s="2" t="inlineStr">
        <is>
          <t>Granbräken
Mattlummer
Revlummer</t>
        </is>
      </c>
      <c r="S206">
        <f>HYPERLINK("https://klasma.github.io/Logging_1415/artfynd/A 45604-2025 artfynd.xlsx", "A 45604-2025")</f>
        <v/>
      </c>
      <c r="T206">
        <f>HYPERLINK("https://klasma.github.io/Logging_1415/kartor/A 45604-2025 karta.png", "A 45604-2025")</f>
        <v/>
      </c>
      <c r="V206">
        <f>HYPERLINK("https://klasma.github.io/Logging_1415/klagomål/A 45604-2025 FSC-klagomål.docx", "A 45604-2025")</f>
        <v/>
      </c>
      <c r="W206">
        <f>HYPERLINK("https://klasma.github.io/Logging_1415/klagomålsmail/A 45604-2025 FSC-klagomål mail.docx", "A 45604-2025")</f>
        <v/>
      </c>
      <c r="X206">
        <f>HYPERLINK("https://klasma.github.io/Logging_1415/tillsyn/A 45604-2025 tillsynsbegäran.docx", "A 45604-2025")</f>
        <v/>
      </c>
      <c r="Y206">
        <f>HYPERLINK("https://klasma.github.io/Logging_1415/tillsynsmail/A 45604-2025 tillsynsbegäran mail.docx", "A 45604-2025")</f>
        <v/>
      </c>
    </row>
    <row r="207" ht="15" customHeight="1">
      <c r="A207" t="inlineStr">
        <is>
          <t>A 45582-2025</t>
        </is>
      </c>
      <c r="B207" s="1" t="n">
        <v>45922.66782407407</v>
      </c>
      <c r="C207" s="1" t="n">
        <v>46011</v>
      </c>
      <c r="D207" t="inlineStr">
        <is>
          <t>VÄSTRA GÖTALANDS LÄN</t>
        </is>
      </c>
      <c r="E207" t="inlineStr">
        <is>
          <t>UDDEVALLA</t>
        </is>
      </c>
      <c r="G207" t="n">
        <v>1.4</v>
      </c>
      <c r="H207" t="n">
        <v>1</v>
      </c>
      <c r="I207" t="n">
        <v>1</v>
      </c>
      <c r="J207" t="n">
        <v>0</v>
      </c>
      <c r="K207" t="n">
        <v>0</v>
      </c>
      <c r="L207" t="n">
        <v>1</v>
      </c>
      <c r="M207" t="n">
        <v>0</v>
      </c>
      <c r="N207" t="n">
        <v>0</v>
      </c>
      <c r="O207" t="n">
        <v>1</v>
      </c>
      <c r="P207" t="n">
        <v>1</v>
      </c>
      <c r="Q207" t="n">
        <v>3</v>
      </c>
      <c r="R207" s="2" t="inlineStr">
        <is>
          <t>Ryl
Mandelriska
Mattlummer</t>
        </is>
      </c>
      <c r="S207">
        <f>HYPERLINK("https://klasma.github.io/Logging_1485/artfynd/A 45582-2025 artfynd.xlsx", "A 45582-2025")</f>
        <v/>
      </c>
      <c r="T207">
        <f>HYPERLINK("https://klasma.github.io/Logging_1485/kartor/A 45582-2025 karta.png", "A 45582-2025")</f>
        <v/>
      </c>
      <c r="V207">
        <f>HYPERLINK("https://klasma.github.io/Logging_1485/klagomål/A 45582-2025 FSC-klagomål.docx", "A 45582-2025")</f>
        <v/>
      </c>
      <c r="W207">
        <f>HYPERLINK("https://klasma.github.io/Logging_1485/klagomålsmail/A 45582-2025 FSC-klagomål mail.docx", "A 45582-2025")</f>
        <v/>
      </c>
      <c r="X207">
        <f>HYPERLINK("https://klasma.github.io/Logging_1485/tillsyn/A 45582-2025 tillsynsbegäran.docx", "A 45582-2025")</f>
        <v/>
      </c>
      <c r="Y207">
        <f>HYPERLINK("https://klasma.github.io/Logging_1485/tillsynsmail/A 45582-2025 tillsynsbegäran mail.docx", "A 45582-2025")</f>
        <v/>
      </c>
    </row>
    <row r="208" ht="15" customHeight="1">
      <c r="A208" t="inlineStr">
        <is>
          <t>A 23563-2023</t>
        </is>
      </c>
      <c r="B208" s="1" t="n">
        <v>45072</v>
      </c>
      <c r="C208" s="1" t="n">
        <v>46011</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31985-2025</t>
        </is>
      </c>
      <c r="B209" s="1" t="n">
        <v>45835</v>
      </c>
      <c r="C209" s="1" t="n">
        <v>46011</v>
      </c>
      <c r="D209" t="inlineStr">
        <is>
          <t>VÄSTRA GÖTALANDS LÄN</t>
        </is>
      </c>
      <c r="E209" t="inlineStr">
        <is>
          <t>VÄNERSBORG</t>
        </is>
      </c>
      <c r="G209" t="n">
        <v>16.8</v>
      </c>
      <c r="H209" t="n">
        <v>1</v>
      </c>
      <c r="I209" t="n">
        <v>2</v>
      </c>
      <c r="J209" t="n">
        <v>0</v>
      </c>
      <c r="K209" t="n">
        <v>0</v>
      </c>
      <c r="L209" t="n">
        <v>0</v>
      </c>
      <c r="M209" t="n">
        <v>0</v>
      </c>
      <c r="N209" t="n">
        <v>0</v>
      </c>
      <c r="O209" t="n">
        <v>0</v>
      </c>
      <c r="P209" t="n">
        <v>0</v>
      </c>
      <c r="Q209" t="n">
        <v>3</v>
      </c>
      <c r="R209" s="2" t="inlineStr">
        <is>
          <t>Fällmossa
Vätteros
Gullviva</t>
        </is>
      </c>
      <c r="S209">
        <f>HYPERLINK("https://klasma.github.io/Logging_1487/artfynd/A 31985-2025 artfynd.xlsx", "A 31985-2025")</f>
        <v/>
      </c>
      <c r="T209">
        <f>HYPERLINK("https://klasma.github.io/Logging_1487/kartor/A 31985-2025 karta.png", "A 31985-2025")</f>
        <v/>
      </c>
      <c r="V209">
        <f>HYPERLINK("https://klasma.github.io/Logging_1487/klagomål/A 31985-2025 FSC-klagomål.docx", "A 31985-2025")</f>
        <v/>
      </c>
      <c r="W209">
        <f>HYPERLINK("https://klasma.github.io/Logging_1487/klagomålsmail/A 31985-2025 FSC-klagomål mail.docx", "A 31985-2025")</f>
        <v/>
      </c>
      <c r="X209">
        <f>HYPERLINK("https://klasma.github.io/Logging_1487/tillsyn/A 31985-2025 tillsynsbegäran.docx", "A 31985-2025")</f>
        <v/>
      </c>
      <c r="Y209">
        <f>HYPERLINK("https://klasma.github.io/Logging_1487/tillsynsmail/A 31985-2025 tillsynsbegäran mail.docx", "A 31985-2025")</f>
        <v/>
      </c>
    </row>
    <row r="210" ht="15" customHeight="1">
      <c r="A210" t="inlineStr">
        <is>
          <t>A 63575-2023</t>
        </is>
      </c>
      <c r="B210" s="1" t="n">
        <v>45275.39715277778</v>
      </c>
      <c r="C210" s="1" t="n">
        <v>46011</v>
      </c>
      <c r="D210" t="inlineStr">
        <is>
          <t>VÄSTRA GÖTALANDS LÄN</t>
        </is>
      </c>
      <c r="E210" t="inlineStr">
        <is>
          <t>ALE</t>
        </is>
      </c>
      <c r="G210" t="n">
        <v>1.2</v>
      </c>
      <c r="H210" t="n">
        <v>3</v>
      </c>
      <c r="I210" t="n">
        <v>0</v>
      </c>
      <c r="J210" t="n">
        <v>3</v>
      </c>
      <c r="K210" t="n">
        <v>0</v>
      </c>
      <c r="L210" t="n">
        <v>0</v>
      </c>
      <c r="M210" t="n">
        <v>0</v>
      </c>
      <c r="N210" t="n">
        <v>0</v>
      </c>
      <c r="O210" t="n">
        <v>3</v>
      </c>
      <c r="P210" t="n">
        <v>0</v>
      </c>
      <c r="Q210" t="n">
        <v>3</v>
      </c>
      <c r="R210" s="2" t="inlineStr">
        <is>
          <t>Gulsparv
Spillkråka
Talltita</t>
        </is>
      </c>
      <c r="S210">
        <f>HYPERLINK("https://klasma.github.io/Logging_1440/artfynd/A 63575-2023 artfynd.xlsx", "A 63575-2023")</f>
        <v/>
      </c>
      <c r="T210">
        <f>HYPERLINK("https://klasma.github.io/Logging_1440/kartor/A 63575-2023 karta.png", "A 63575-2023")</f>
        <v/>
      </c>
      <c r="V210">
        <f>HYPERLINK("https://klasma.github.io/Logging_1440/klagomål/A 63575-2023 FSC-klagomål.docx", "A 63575-2023")</f>
        <v/>
      </c>
      <c r="W210">
        <f>HYPERLINK("https://klasma.github.io/Logging_1440/klagomålsmail/A 63575-2023 FSC-klagomål mail.docx", "A 63575-2023")</f>
        <v/>
      </c>
      <c r="X210">
        <f>HYPERLINK("https://klasma.github.io/Logging_1440/tillsyn/A 63575-2023 tillsynsbegäran.docx", "A 63575-2023")</f>
        <v/>
      </c>
      <c r="Y210">
        <f>HYPERLINK("https://klasma.github.io/Logging_1440/tillsynsmail/A 63575-2023 tillsynsbegäran mail.docx", "A 63575-2023")</f>
        <v/>
      </c>
      <c r="Z210">
        <f>HYPERLINK("https://klasma.github.io/Logging_1440/fåglar/A 63575-2023 prioriterade fågelarter.docx", "A 63575-2023")</f>
        <v/>
      </c>
    </row>
    <row r="211" ht="15" customHeight="1">
      <c r="A211" t="inlineStr">
        <is>
          <t>A 47220-2025</t>
        </is>
      </c>
      <c r="B211" s="1" t="n">
        <v>45930</v>
      </c>
      <c r="C211" s="1" t="n">
        <v>46011</v>
      </c>
      <c r="D211" t="inlineStr">
        <is>
          <t>VÄSTRA GÖTALANDS LÄN</t>
        </is>
      </c>
      <c r="E211" t="inlineStr">
        <is>
          <t>BENGTSFORS</t>
        </is>
      </c>
      <c r="G211" t="n">
        <v>3.5</v>
      </c>
      <c r="H211" t="n">
        <v>3</v>
      </c>
      <c r="I211" t="n">
        <v>0</v>
      </c>
      <c r="J211" t="n">
        <v>1</v>
      </c>
      <c r="K211" t="n">
        <v>0</v>
      </c>
      <c r="L211" t="n">
        <v>0</v>
      </c>
      <c r="M211" t="n">
        <v>0</v>
      </c>
      <c r="N211" t="n">
        <v>0</v>
      </c>
      <c r="O211" t="n">
        <v>1</v>
      </c>
      <c r="P211" t="n">
        <v>0</v>
      </c>
      <c r="Q211" t="n">
        <v>3</v>
      </c>
      <c r="R211" s="2" t="inlineStr">
        <is>
          <t>Björktrast
Grönsiska
Kungsfågel</t>
        </is>
      </c>
      <c r="S211">
        <f>HYPERLINK("https://klasma.github.io/Logging_1460/artfynd/A 47220-2025 artfynd.xlsx", "A 47220-2025")</f>
        <v/>
      </c>
      <c r="T211">
        <f>HYPERLINK("https://klasma.github.io/Logging_1460/kartor/A 47220-2025 karta.png", "A 47220-2025")</f>
        <v/>
      </c>
      <c r="V211">
        <f>HYPERLINK("https://klasma.github.io/Logging_1460/klagomål/A 47220-2025 FSC-klagomål.docx", "A 47220-2025")</f>
        <v/>
      </c>
      <c r="W211">
        <f>HYPERLINK("https://klasma.github.io/Logging_1460/klagomålsmail/A 47220-2025 FSC-klagomål mail.docx", "A 47220-2025")</f>
        <v/>
      </c>
      <c r="X211">
        <f>HYPERLINK("https://klasma.github.io/Logging_1460/tillsyn/A 47220-2025 tillsynsbegäran.docx", "A 47220-2025")</f>
        <v/>
      </c>
      <c r="Y211">
        <f>HYPERLINK("https://klasma.github.io/Logging_1460/tillsynsmail/A 47220-2025 tillsynsbegäran mail.docx", "A 47220-2025")</f>
        <v/>
      </c>
      <c r="Z211">
        <f>HYPERLINK("https://klasma.github.io/Logging_1460/fåglar/A 47220-2025 prioriterade fågelarter.docx", "A 47220-2025")</f>
        <v/>
      </c>
    </row>
    <row r="212" ht="15" customHeight="1">
      <c r="A212" t="inlineStr">
        <is>
          <t>A 51423-2024</t>
        </is>
      </c>
      <c r="B212" s="1" t="n">
        <v>45604</v>
      </c>
      <c r="C212" s="1" t="n">
        <v>46011</v>
      </c>
      <c r="D212" t="inlineStr">
        <is>
          <t>VÄSTRA GÖTALANDS LÄN</t>
        </is>
      </c>
      <c r="E212" t="inlineStr">
        <is>
          <t>BORÅS</t>
        </is>
      </c>
      <c r="G212" t="n">
        <v>1.7</v>
      </c>
      <c r="H212" t="n">
        <v>2</v>
      </c>
      <c r="I212" t="n">
        <v>0</v>
      </c>
      <c r="J212" t="n">
        <v>1</v>
      </c>
      <c r="K212" t="n">
        <v>1</v>
      </c>
      <c r="L212" t="n">
        <v>0</v>
      </c>
      <c r="M212" t="n">
        <v>0</v>
      </c>
      <c r="N212" t="n">
        <v>0</v>
      </c>
      <c r="O212" t="n">
        <v>2</v>
      </c>
      <c r="P212" t="n">
        <v>1</v>
      </c>
      <c r="Q212" t="n">
        <v>3</v>
      </c>
      <c r="R212" s="2" t="inlineStr">
        <is>
          <t>Knärot
Svart taggsvamp
Nattviol</t>
        </is>
      </c>
      <c r="S212">
        <f>HYPERLINK("https://klasma.github.io/Logging_1490/artfynd/A 51423-2024 artfynd.xlsx", "A 51423-2024")</f>
        <v/>
      </c>
      <c r="T212">
        <f>HYPERLINK("https://klasma.github.io/Logging_1490/kartor/A 51423-2024 karta.png", "A 51423-2024")</f>
        <v/>
      </c>
      <c r="U212">
        <f>HYPERLINK("https://klasma.github.io/Logging_1490/knärot/A 51423-2024 karta knärot.png", "A 51423-2024")</f>
        <v/>
      </c>
      <c r="V212">
        <f>HYPERLINK("https://klasma.github.io/Logging_1490/klagomål/A 51423-2024 FSC-klagomål.docx", "A 51423-2024")</f>
        <v/>
      </c>
      <c r="W212">
        <f>HYPERLINK("https://klasma.github.io/Logging_1490/klagomålsmail/A 51423-2024 FSC-klagomål mail.docx", "A 51423-2024")</f>
        <v/>
      </c>
      <c r="X212">
        <f>HYPERLINK("https://klasma.github.io/Logging_1490/tillsyn/A 51423-2024 tillsynsbegäran.docx", "A 51423-2024")</f>
        <v/>
      </c>
      <c r="Y212">
        <f>HYPERLINK("https://klasma.github.io/Logging_1490/tillsynsmail/A 51423-2024 tillsynsbegäran mail.docx", "A 51423-2024")</f>
        <v/>
      </c>
    </row>
    <row r="213" ht="15" customHeight="1">
      <c r="A213" t="inlineStr">
        <is>
          <t>A 28233-2022</t>
        </is>
      </c>
      <c r="B213" s="1" t="n">
        <v>44746</v>
      </c>
      <c r="C213" s="1" t="n">
        <v>46011</v>
      </c>
      <c r="D213" t="inlineStr">
        <is>
          <t>VÄSTRA GÖTALANDS LÄN</t>
        </is>
      </c>
      <c r="E213" t="inlineStr">
        <is>
          <t>LERUM</t>
        </is>
      </c>
      <c r="F213" t="inlineStr">
        <is>
          <t>Kommuner</t>
        </is>
      </c>
      <c r="G213" t="n">
        <v>1.7</v>
      </c>
      <c r="H213" t="n">
        <v>1</v>
      </c>
      <c r="I213" t="n">
        <v>1</v>
      </c>
      <c r="J213" t="n">
        <v>0</v>
      </c>
      <c r="K213" t="n">
        <v>0</v>
      </c>
      <c r="L213" t="n">
        <v>1</v>
      </c>
      <c r="M213" t="n">
        <v>0</v>
      </c>
      <c r="N213" t="n">
        <v>0</v>
      </c>
      <c r="O213" t="n">
        <v>1</v>
      </c>
      <c r="P213" t="n">
        <v>1</v>
      </c>
      <c r="Q213" t="n">
        <v>3</v>
      </c>
      <c r="R213" s="2" t="inlineStr">
        <is>
          <t>Ask
Björksplintborre
Vanlig groda</t>
        </is>
      </c>
      <c r="S213">
        <f>HYPERLINK("https://klasma.github.io/Logging_1441/artfynd/A 28233-2022 artfynd.xlsx", "A 28233-2022")</f>
        <v/>
      </c>
      <c r="T213">
        <f>HYPERLINK("https://klasma.github.io/Logging_1441/kartor/A 28233-2022 karta.png", "A 28233-2022")</f>
        <v/>
      </c>
      <c r="V213">
        <f>HYPERLINK("https://klasma.github.io/Logging_1441/klagomål/A 28233-2022 FSC-klagomål.docx", "A 28233-2022")</f>
        <v/>
      </c>
      <c r="W213">
        <f>HYPERLINK("https://klasma.github.io/Logging_1441/klagomålsmail/A 28233-2022 FSC-klagomål mail.docx", "A 28233-2022")</f>
        <v/>
      </c>
      <c r="X213">
        <f>HYPERLINK("https://klasma.github.io/Logging_1441/tillsyn/A 28233-2022 tillsynsbegäran.docx", "A 28233-2022")</f>
        <v/>
      </c>
      <c r="Y213">
        <f>HYPERLINK("https://klasma.github.io/Logging_1441/tillsynsmail/A 28233-2022 tillsynsbegäran mail.docx", "A 28233-2022")</f>
        <v/>
      </c>
    </row>
    <row r="214" ht="15" customHeight="1">
      <c r="A214" t="inlineStr">
        <is>
          <t>A 25010-2025</t>
        </is>
      </c>
      <c r="B214" s="1" t="n">
        <v>45799.6280787037</v>
      </c>
      <c r="C214" s="1" t="n">
        <v>46011</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25010-2025 artfynd.xlsx", "A 25010-2025")</f>
        <v/>
      </c>
      <c r="T214">
        <f>HYPERLINK("https://klasma.github.io/Logging_1485/kartor/A 25010-2025 karta.png", "A 25010-2025")</f>
        <v/>
      </c>
      <c r="V214">
        <f>HYPERLINK("https://klasma.github.io/Logging_1485/klagomål/A 25010-2025 FSC-klagomål.docx", "A 25010-2025")</f>
        <v/>
      </c>
      <c r="W214">
        <f>HYPERLINK("https://klasma.github.io/Logging_1485/klagomålsmail/A 25010-2025 FSC-klagomål mail.docx", "A 25010-2025")</f>
        <v/>
      </c>
      <c r="X214">
        <f>HYPERLINK("https://klasma.github.io/Logging_1485/tillsyn/A 25010-2025 tillsynsbegäran.docx", "A 25010-2025")</f>
        <v/>
      </c>
      <c r="Y214">
        <f>HYPERLINK("https://klasma.github.io/Logging_1485/tillsynsmail/A 25010-2025 tillsynsbegäran mail.docx", "A 25010-2025")</f>
        <v/>
      </c>
    </row>
    <row r="215" ht="15" customHeight="1">
      <c r="A215" t="inlineStr">
        <is>
          <t>A 62051-2024</t>
        </is>
      </c>
      <c r="B215" s="1" t="n">
        <v>45656.36642361111</v>
      </c>
      <c r="C215" s="1" t="n">
        <v>46011</v>
      </c>
      <c r="D215" t="inlineStr">
        <is>
          <t>VÄSTRA GÖTALANDS LÄN</t>
        </is>
      </c>
      <c r="E215" t="inlineStr">
        <is>
          <t>UDDEVALLA</t>
        </is>
      </c>
      <c r="F215" t="inlineStr">
        <is>
          <t>Kommuner</t>
        </is>
      </c>
      <c r="G215" t="n">
        <v>5.5</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HYPERLINK("https://klasma.github.io/Logging_1485/artfynd/A 62051-2024 artfynd.xlsx", "A 62051-2024")</f>
        <v/>
      </c>
      <c r="T215">
        <f>HYPERLINK("https://klasma.github.io/Logging_1485/kartor/A 62051-2024 karta.png", "A 62051-2024")</f>
        <v/>
      </c>
      <c r="V215">
        <f>HYPERLINK("https://klasma.github.io/Logging_1485/klagomål/A 62051-2024 FSC-klagomål.docx", "A 62051-2024")</f>
        <v/>
      </c>
      <c r="W215">
        <f>HYPERLINK("https://klasma.github.io/Logging_1485/klagomålsmail/A 62051-2024 FSC-klagomål mail.docx", "A 62051-2024")</f>
        <v/>
      </c>
      <c r="X215">
        <f>HYPERLINK("https://klasma.github.io/Logging_1485/tillsyn/A 62051-2024 tillsynsbegäran.docx", "A 62051-2024")</f>
        <v/>
      </c>
      <c r="Y215">
        <f>HYPERLINK("https://klasma.github.io/Logging_1485/tillsynsmail/A 62051-2024 tillsynsbegäran mail.docx", "A 62051-2024")</f>
        <v/>
      </c>
      <c r="Z215">
        <f>HYPERLINK("https://klasma.github.io/Logging_1485/fåglar/A 62051-2024 prioriterade fågelarter.docx", "A 62051-2024")</f>
        <v/>
      </c>
    </row>
    <row r="216" ht="15" customHeight="1">
      <c r="A216" t="inlineStr">
        <is>
          <t>A 36424-2025</t>
        </is>
      </c>
      <c r="B216" s="1" t="n">
        <v>45868.90353009259</v>
      </c>
      <c r="C216" s="1" t="n">
        <v>46011</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62065-2024</t>
        </is>
      </c>
      <c r="B217" s="1" t="n">
        <v>45656.39114583333</v>
      </c>
      <c r="C217" s="1" t="n">
        <v>46011</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62065-2024 artfynd.xlsx", "A 62065-2024")</f>
        <v/>
      </c>
      <c r="T217">
        <f>HYPERLINK("https://klasma.github.io/Logging_1485/kartor/A 62065-2024 karta.png", "A 62065-2024")</f>
        <v/>
      </c>
      <c r="V217">
        <f>HYPERLINK("https://klasma.github.io/Logging_1485/klagomål/A 62065-2024 FSC-klagomål.docx", "A 62065-2024")</f>
        <v/>
      </c>
      <c r="W217">
        <f>HYPERLINK("https://klasma.github.io/Logging_1485/klagomålsmail/A 62065-2024 FSC-klagomål mail.docx", "A 62065-2024")</f>
        <v/>
      </c>
      <c r="X217">
        <f>HYPERLINK("https://klasma.github.io/Logging_1485/tillsyn/A 62065-2024 tillsynsbegäran.docx", "A 62065-2024")</f>
        <v/>
      </c>
      <c r="Y217">
        <f>HYPERLINK("https://klasma.github.io/Logging_1485/tillsynsmail/A 62065-2024 tillsynsbegäran mail.docx", "A 62065-2024")</f>
        <v/>
      </c>
    </row>
    <row r="218" ht="15" customHeight="1">
      <c r="A218" t="inlineStr">
        <is>
          <t>A 2440-2023</t>
        </is>
      </c>
      <c r="B218" s="1" t="n">
        <v>44943</v>
      </c>
      <c r="C218" s="1" t="n">
        <v>46011</v>
      </c>
      <c r="D218" t="inlineStr">
        <is>
          <t>VÄSTRA GÖTALANDS LÄN</t>
        </is>
      </c>
      <c r="E218" t="inlineStr">
        <is>
          <t>LERUM</t>
        </is>
      </c>
      <c r="G218" t="n">
        <v>2.4</v>
      </c>
      <c r="H218" t="n">
        <v>1</v>
      </c>
      <c r="I218" t="n">
        <v>2</v>
      </c>
      <c r="J218" t="n">
        <v>0</v>
      </c>
      <c r="K218" t="n">
        <v>0</v>
      </c>
      <c r="L218" t="n">
        <v>0</v>
      </c>
      <c r="M218" t="n">
        <v>0</v>
      </c>
      <c r="N218" t="n">
        <v>0</v>
      </c>
      <c r="O218" t="n">
        <v>0</v>
      </c>
      <c r="P218" t="n">
        <v>0</v>
      </c>
      <c r="Q218" t="n">
        <v>3</v>
      </c>
      <c r="R218" s="2" t="inlineStr">
        <is>
          <t>Björksplintborre
Blåmossa
Vanlig groda</t>
        </is>
      </c>
      <c r="S218">
        <f>HYPERLINK("https://klasma.github.io/Logging_1441/artfynd/A 2440-2023 artfynd.xlsx", "A 2440-2023")</f>
        <v/>
      </c>
      <c r="T218">
        <f>HYPERLINK("https://klasma.github.io/Logging_1441/kartor/A 2440-2023 karta.png", "A 2440-2023")</f>
        <v/>
      </c>
      <c r="V218">
        <f>HYPERLINK("https://klasma.github.io/Logging_1441/klagomål/A 2440-2023 FSC-klagomål.docx", "A 2440-2023")</f>
        <v/>
      </c>
      <c r="W218">
        <f>HYPERLINK("https://klasma.github.io/Logging_1441/klagomålsmail/A 2440-2023 FSC-klagomål mail.docx", "A 2440-2023")</f>
        <v/>
      </c>
      <c r="X218">
        <f>HYPERLINK("https://klasma.github.io/Logging_1441/tillsyn/A 2440-2023 tillsynsbegäran.docx", "A 2440-2023")</f>
        <v/>
      </c>
      <c r="Y218">
        <f>HYPERLINK("https://klasma.github.io/Logging_1441/tillsynsmail/A 2440-2023 tillsynsbegäran mail.docx", "A 2440-2023")</f>
        <v/>
      </c>
    </row>
    <row r="219" ht="15" customHeight="1">
      <c r="A219" t="inlineStr">
        <is>
          <t>A 17541-2021</t>
        </is>
      </c>
      <c r="B219" s="1" t="n">
        <v>44299</v>
      </c>
      <c r="C219" s="1" t="n">
        <v>46011</v>
      </c>
      <c r="D219" t="inlineStr">
        <is>
          <t>VÄSTRA GÖTALANDS LÄN</t>
        </is>
      </c>
      <c r="E219" t="inlineStr">
        <is>
          <t>LIDKÖPING</t>
        </is>
      </c>
      <c r="G219" t="n">
        <v>0.5</v>
      </c>
      <c r="H219" t="n">
        <v>3</v>
      </c>
      <c r="I219" t="n">
        <v>0</v>
      </c>
      <c r="J219" t="n">
        <v>0</v>
      </c>
      <c r="K219" t="n">
        <v>0</v>
      </c>
      <c r="L219" t="n">
        <v>1</v>
      </c>
      <c r="M219" t="n">
        <v>0</v>
      </c>
      <c r="N219" t="n">
        <v>0</v>
      </c>
      <c r="O219" t="n">
        <v>1</v>
      </c>
      <c r="P219" t="n">
        <v>1</v>
      </c>
      <c r="Q219" t="n">
        <v>3</v>
      </c>
      <c r="R219" s="2" t="inlineStr">
        <is>
          <t>Grönfink
Gröngöling
Grönsiska</t>
        </is>
      </c>
      <c r="S219">
        <f>HYPERLINK("https://klasma.github.io/Logging_1494/artfynd/A 17541-2021 artfynd.xlsx", "A 17541-2021")</f>
        <v/>
      </c>
      <c r="T219">
        <f>HYPERLINK("https://klasma.github.io/Logging_1494/kartor/A 17541-2021 karta.png", "A 17541-2021")</f>
        <v/>
      </c>
      <c r="V219">
        <f>HYPERLINK("https://klasma.github.io/Logging_1494/klagomål/A 17541-2021 FSC-klagomål.docx", "A 17541-2021")</f>
        <v/>
      </c>
      <c r="W219">
        <f>HYPERLINK("https://klasma.github.io/Logging_1494/klagomålsmail/A 17541-2021 FSC-klagomål mail.docx", "A 17541-2021")</f>
        <v/>
      </c>
      <c r="X219">
        <f>HYPERLINK("https://klasma.github.io/Logging_1494/tillsyn/A 17541-2021 tillsynsbegäran.docx", "A 17541-2021")</f>
        <v/>
      </c>
      <c r="Y219">
        <f>HYPERLINK("https://klasma.github.io/Logging_1494/tillsynsmail/A 17541-2021 tillsynsbegäran mail.docx", "A 17541-2021")</f>
        <v/>
      </c>
      <c r="Z219">
        <f>HYPERLINK("https://klasma.github.io/Logging_1494/fåglar/A 17541-2021 prioriterade fågelarter.docx", "A 17541-2021")</f>
        <v/>
      </c>
    </row>
    <row r="220" ht="15" customHeight="1">
      <c r="A220" t="inlineStr">
        <is>
          <t>A 4831-2025</t>
        </is>
      </c>
      <c r="B220" s="1" t="n">
        <v>45688</v>
      </c>
      <c r="C220" s="1" t="n">
        <v>46011</v>
      </c>
      <c r="D220" t="inlineStr">
        <is>
          <t>VÄSTRA GÖTALANDS LÄN</t>
        </is>
      </c>
      <c r="E220" t="inlineStr">
        <is>
          <t>LIDKÖPING</t>
        </is>
      </c>
      <c r="G220" t="n">
        <v>1.3</v>
      </c>
      <c r="H220" t="n">
        <v>0</v>
      </c>
      <c r="I220" t="n">
        <v>1</v>
      </c>
      <c r="J220" t="n">
        <v>0</v>
      </c>
      <c r="K220" t="n">
        <v>0</v>
      </c>
      <c r="L220" t="n">
        <v>1</v>
      </c>
      <c r="M220" t="n">
        <v>1</v>
      </c>
      <c r="N220" t="n">
        <v>0</v>
      </c>
      <c r="O220" t="n">
        <v>2</v>
      </c>
      <c r="P220" t="n">
        <v>2</v>
      </c>
      <c r="Q220" t="n">
        <v>3</v>
      </c>
      <c r="R220" s="2" t="inlineStr">
        <is>
          <t>Skogsalm
Ask
Barkticka</t>
        </is>
      </c>
      <c r="S220">
        <f>HYPERLINK("https://klasma.github.io/Logging_1494/artfynd/A 4831-2025 artfynd.xlsx", "A 4831-2025")</f>
        <v/>
      </c>
      <c r="T220">
        <f>HYPERLINK("https://klasma.github.io/Logging_1494/kartor/A 4831-2025 karta.png", "A 4831-2025")</f>
        <v/>
      </c>
      <c r="V220">
        <f>HYPERLINK("https://klasma.github.io/Logging_1494/klagomål/A 4831-2025 FSC-klagomål.docx", "A 4831-2025")</f>
        <v/>
      </c>
      <c r="W220">
        <f>HYPERLINK("https://klasma.github.io/Logging_1494/klagomålsmail/A 4831-2025 FSC-klagomål mail.docx", "A 4831-2025")</f>
        <v/>
      </c>
      <c r="X220">
        <f>HYPERLINK("https://klasma.github.io/Logging_1494/tillsyn/A 4831-2025 tillsynsbegäran.docx", "A 4831-2025")</f>
        <v/>
      </c>
      <c r="Y220">
        <f>HYPERLINK("https://klasma.github.io/Logging_1494/tillsynsmail/A 4831-2025 tillsynsbegäran mail.docx", "A 4831-2025")</f>
        <v/>
      </c>
    </row>
    <row r="221" ht="15" customHeight="1">
      <c r="A221" t="inlineStr">
        <is>
          <t>A 32973-2025</t>
        </is>
      </c>
      <c r="B221" s="1" t="n">
        <v>45839.74755787037</v>
      </c>
      <c r="C221" s="1" t="n">
        <v>46011</v>
      </c>
      <c r="D221" t="inlineStr">
        <is>
          <t>VÄSTRA GÖTALANDS LÄN</t>
        </is>
      </c>
      <c r="E221" t="inlineStr">
        <is>
          <t>MARK</t>
        </is>
      </c>
      <c r="G221" t="n">
        <v>2.6</v>
      </c>
      <c r="H221" t="n">
        <v>1</v>
      </c>
      <c r="I221" t="n">
        <v>0</v>
      </c>
      <c r="J221" t="n">
        <v>0</v>
      </c>
      <c r="K221" t="n">
        <v>1</v>
      </c>
      <c r="L221" t="n">
        <v>0</v>
      </c>
      <c r="M221" t="n">
        <v>1</v>
      </c>
      <c r="N221" t="n">
        <v>0</v>
      </c>
      <c r="O221" t="n">
        <v>2</v>
      </c>
      <c r="P221" t="n">
        <v>2</v>
      </c>
      <c r="Q221" t="n">
        <v>3</v>
      </c>
      <c r="R221" s="2" t="inlineStr">
        <is>
          <t>Ål
Lake
Vanlig snok</t>
        </is>
      </c>
      <c r="S221">
        <f>HYPERLINK("https://klasma.github.io/Logging_1463/artfynd/A 32973-2025 artfynd.xlsx", "A 32973-2025")</f>
        <v/>
      </c>
      <c r="T221">
        <f>HYPERLINK("https://klasma.github.io/Logging_1463/kartor/A 32973-2025 karta.png", "A 32973-2025")</f>
        <v/>
      </c>
      <c r="V221">
        <f>HYPERLINK("https://klasma.github.io/Logging_1463/klagomål/A 32973-2025 FSC-klagomål.docx", "A 32973-2025")</f>
        <v/>
      </c>
      <c r="W221">
        <f>HYPERLINK("https://klasma.github.io/Logging_1463/klagomålsmail/A 32973-2025 FSC-klagomål mail.docx", "A 32973-2025")</f>
        <v/>
      </c>
      <c r="X221">
        <f>HYPERLINK("https://klasma.github.io/Logging_1463/tillsyn/A 32973-2025 tillsynsbegäran.docx", "A 32973-2025")</f>
        <v/>
      </c>
      <c r="Y221">
        <f>HYPERLINK("https://klasma.github.io/Logging_1463/tillsynsmail/A 32973-2025 tillsynsbegäran mail.docx", "A 32973-2025")</f>
        <v/>
      </c>
    </row>
    <row r="222" ht="15" customHeight="1">
      <c r="A222" t="inlineStr">
        <is>
          <t>A 37358-2025</t>
        </is>
      </c>
      <c r="B222" s="1" t="n">
        <v>45876.88369212963</v>
      </c>
      <c r="C222" s="1" t="n">
        <v>46011</v>
      </c>
      <c r="D222" t="inlineStr">
        <is>
          <t>VÄSTRA GÖTALANDS LÄN</t>
        </is>
      </c>
      <c r="E222" t="inlineStr">
        <is>
          <t>SKÖVDE</t>
        </is>
      </c>
      <c r="G222" t="n">
        <v>2.2</v>
      </c>
      <c r="H222" t="n">
        <v>1</v>
      </c>
      <c r="I222" t="n">
        <v>2</v>
      </c>
      <c r="J222" t="n">
        <v>0</v>
      </c>
      <c r="K222" t="n">
        <v>0</v>
      </c>
      <c r="L222" t="n">
        <v>0</v>
      </c>
      <c r="M222" t="n">
        <v>0</v>
      </c>
      <c r="N222" t="n">
        <v>0</v>
      </c>
      <c r="O222" t="n">
        <v>0</v>
      </c>
      <c r="P222" t="n">
        <v>0</v>
      </c>
      <c r="Q222" t="n">
        <v>3</v>
      </c>
      <c r="R222" s="2" t="inlineStr">
        <is>
          <t>Svart trolldruva
Tibast
Fläcknycklar</t>
        </is>
      </c>
      <c r="S222">
        <f>HYPERLINK("https://klasma.github.io/Logging_1496/artfynd/A 37358-2025 artfynd.xlsx", "A 37358-2025")</f>
        <v/>
      </c>
      <c r="T222">
        <f>HYPERLINK("https://klasma.github.io/Logging_1496/kartor/A 37358-2025 karta.png", "A 37358-2025")</f>
        <v/>
      </c>
      <c r="V222">
        <f>HYPERLINK("https://klasma.github.io/Logging_1496/klagomål/A 37358-2025 FSC-klagomål.docx", "A 37358-2025")</f>
        <v/>
      </c>
      <c r="W222">
        <f>HYPERLINK("https://klasma.github.io/Logging_1496/klagomålsmail/A 37358-2025 FSC-klagomål mail.docx", "A 37358-2025")</f>
        <v/>
      </c>
      <c r="X222">
        <f>HYPERLINK("https://klasma.github.io/Logging_1496/tillsyn/A 37358-2025 tillsynsbegäran.docx", "A 37358-2025")</f>
        <v/>
      </c>
      <c r="Y222">
        <f>HYPERLINK("https://klasma.github.io/Logging_1496/tillsynsmail/A 37358-2025 tillsynsbegäran mail.docx", "A 37358-2025")</f>
        <v/>
      </c>
    </row>
    <row r="223" ht="15" customHeight="1">
      <c r="A223" t="inlineStr">
        <is>
          <t>A 62068-2024</t>
        </is>
      </c>
      <c r="B223" s="1" t="n">
        <v>45656</v>
      </c>
      <c r="C223" s="1" t="n">
        <v>46011</v>
      </c>
      <c r="D223" t="inlineStr">
        <is>
          <t>VÄSTRA GÖTALANDS LÄN</t>
        </is>
      </c>
      <c r="E223" t="inlineStr">
        <is>
          <t>UDDEVALLA</t>
        </is>
      </c>
      <c r="F223" t="inlineStr">
        <is>
          <t>Kommuner</t>
        </is>
      </c>
      <c r="G223" t="n">
        <v>4.1</v>
      </c>
      <c r="H223" t="n">
        <v>2</v>
      </c>
      <c r="I223" t="n">
        <v>0</v>
      </c>
      <c r="J223" t="n">
        <v>1</v>
      </c>
      <c r="K223" t="n">
        <v>0</v>
      </c>
      <c r="L223" t="n">
        <v>1</v>
      </c>
      <c r="M223" t="n">
        <v>0</v>
      </c>
      <c r="N223" t="n">
        <v>0</v>
      </c>
      <c r="O223" t="n">
        <v>2</v>
      </c>
      <c r="P223" t="n">
        <v>1</v>
      </c>
      <c r="Q223" t="n">
        <v>3</v>
      </c>
      <c r="R223" s="2" t="inlineStr">
        <is>
          <t>Ask
Talltita
Kungsfågel</t>
        </is>
      </c>
      <c r="S223">
        <f>HYPERLINK("https://klasma.github.io/Logging_1485/artfynd/A 62068-2024 artfynd.xlsx", "A 62068-2024")</f>
        <v/>
      </c>
      <c r="T223">
        <f>HYPERLINK("https://klasma.github.io/Logging_1485/kartor/A 62068-2024 karta.png", "A 62068-2024")</f>
        <v/>
      </c>
      <c r="V223">
        <f>HYPERLINK("https://klasma.github.io/Logging_1485/klagomål/A 62068-2024 FSC-klagomål.docx", "A 62068-2024")</f>
        <v/>
      </c>
      <c r="W223">
        <f>HYPERLINK("https://klasma.github.io/Logging_1485/klagomålsmail/A 62068-2024 FSC-klagomål mail.docx", "A 62068-2024")</f>
        <v/>
      </c>
      <c r="X223">
        <f>HYPERLINK("https://klasma.github.io/Logging_1485/tillsyn/A 62068-2024 tillsynsbegäran.docx", "A 62068-2024")</f>
        <v/>
      </c>
      <c r="Y223">
        <f>HYPERLINK("https://klasma.github.io/Logging_1485/tillsynsmail/A 62068-2024 tillsynsbegäran mail.docx", "A 62068-2024")</f>
        <v/>
      </c>
      <c r="Z223">
        <f>HYPERLINK("https://klasma.github.io/Logging_1485/fåglar/A 62068-2024 prioriterade fågelarter.docx", "A 62068-2024")</f>
        <v/>
      </c>
    </row>
    <row r="224" ht="15" customHeight="1">
      <c r="A224" t="inlineStr">
        <is>
          <t>A 20829-2025</t>
        </is>
      </c>
      <c r="B224" s="1" t="n">
        <v>45776</v>
      </c>
      <c r="C224" s="1" t="n">
        <v>46011</v>
      </c>
      <c r="D224" t="inlineStr">
        <is>
          <t>VÄSTRA GÖTALANDS LÄN</t>
        </is>
      </c>
      <c r="E224" t="inlineStr">
        <is>
          <t>KARLSBORG</t>
        </is>
      </c>
      <c r="G224" t="n">
        <v>7.9</v>
      </c>
      <c r="H224" t="n">
        <v>3</v>
      </c>
      <c r="I224" t="n">
        <v>0</v>
      </c>
      <c r="J224" t="n">
        <v>2</v>
      </c>
      <c r="K224" t="n">
        <v>0</v>
      </c>
      <c r="L224" t="n">
        <v>0</v>
      </c>
      <c r="M224" t="n">
        <v>0</v>
      </c>
      <c r="N224" t="n">
        <v>0</v>
      </c>
      <c r="O224" t="n">
        <v>2</v>
      </c>
      <c r="P224" t="n">
        <v>0</v>
      </c>
      <c r="Q224" t="n">
        <v>3</v>
      </c>
      <c r="R224" s="2" t="inlineStr">
        <is>
          <t>Grönsångare
Talltita
Revlummer</t>
        </is>
      </c>
      <c r="S224">
        <f>HYPERLINK("https://klasma.github.io/Logging_1446/artfynd/A 20829-2025 artfynd.xlsx", "A 20829-2025")</f>
        <v/>
      </c>
      <c r="T224">
        <f>HYPERLINK("https://klasma.github.io/Logging_1446/kartor/A 20829-2025 karta.png", "A 20829-2025")</f>
        <v/>
      </c>
      <c r="U224">
        <f>HYPERLINK("https://klasma.github.io/Logging_1446/knärot/A 20829-2025 karta knärot.png", "A 20829-2025")</f>
        <v/>
      </c>
      <c r="V224">
        <f>HYPERLINK("https://klasma.github.io/Logging_1446/klagomål/A 20829-2025 FSC-klagomål.docx", "A 20829-2025")</f>
        <v/>
      </c>
      <c r="W224">
        <f>HYPERLINK("https://klasma.github.io/Logging_1446/klagomålsmail/A 20829-2025 FSC-klagomål mail.docx", "A 20829-2025")</f>
        <v/>
      </c>
      <c r="X224">
        <f>HYPERLINK("https://klasma.github.io/Logging_1446/tillsyn/A 20829-2025 tillsynsbegäran.docx", "A 20829-2025")</f>
        <v/>
      </c>
      <c r="Y224">
        <f>HYPERLINK("https://klasma.github.io/Logging_1446/tillsynsmail/A 20829-2025 tillsynsbegäran mail.docx", "A 20829-2025")</f>
        <v/>
      </c>
      <c r="Z224">
        <f>HYPERLINK("https://klasma.github.io/Logging_1446/fåglar/A 20829-2025 prioriterade fågelarter.docx", "A 20829-2025")</f>
        <v/>
      </c>
    </row>
    <row r="225" ht="15" customHeight="1">
      <c r="A225" t="inlineStr">
        <is>
          <t>A 42644-2021</t>
        </is>
      </c>
      <c r="B225" s="1" t="n">
        <v>44428</v>
      </c>
      <c r="C225" s="1" t="n">
        <v>46011</v>
      </c>
      <c r="D225" t="inlineStr">
        <is>
          <t>VÄSTRA GÖTALANDS LÄN</t>
        </is>
      </c>
      <c r="E225" t="inlineStr">
        <is>
          <t>MARK</t>
        </is>
      </c>
      <c r="G225" t="n">
        <v>6.2</v>
      </c>
      <c r="H225" t="n">
        <v>0</v>
      </c>
      <c r="I225" t="n">
        <v>2</v>
      </c>
      <c r="J225" t="n">
        <v>0</v>
      </c>
      <c r="K225" t="n">
        <v>0</v>
      </c>
      <c r="L225" t="n">
        <v>1</v>
      </c>
      <c r="M225" t="n">
        <v>0</v>
      </c>
      <c r="N225" t="n">
        <v>0</v>
      </c>
      <c r="O225" t="n">
        <v>1</v>
      </c>
      <c r="P225" t="n">
        <v>1</v>
      </c>
      <c r="Q225" t="n">
        <v>3</v>
      </c>
      <c r="R225" s="2" t="inlineStr">
        <is>
          <t>Ask
Guldlockmossa
Rostfläck</t>
        </is>
      </c>
      <c r="S225">
        <f>HYPERLINK("https://klasma.github.io/Logging_1463/artfynd/A 42644-2021 artfynd.xlsx", "A 42644-2021")</f>
        <v/>
      </c>
      <c r="T225">
        <f>HYPERLINK("https://klasma.github.io/Logging_1463/kartor/A 42644-2021 karta.png", "A 42644-2021")</f>
        <v/>
      </c>
      <c r="V225">
        <f>HYPERLINK("https://klasma.github.io/Logging_1463/klagomål/A 42644-2021 FSC-klagomål.docx", "A 42644-2021")</f>
        <v/>
      </c>
      <c r="W225">
        <f>HYPERLINK("https://klasma.github.io/Logging_1463/klagomålsmail/A 42644-2021 FSC-klagomål mail.docx", "A 42644-2021")</f>
        <v/>
      </c>
      <c r="X225">
        <f>HYPERLINK("https://klasma.github.io/Logging_1463/tillsyn/A 42644-2021 tillsynsbegäran.docx", "A 42644-2021")</f>
        <v/>
      </c>
      <c r="Y225">
        <f>HYPERLINK("https://klasma.github.io/Logging_1463/tillsynsmail/A 42644-2021 tillsynsbegäran mail.docx", "A 42644-2021")</f>
        <v/>
      </c>
    </row>
    <row r="226" ht="15" customHeight="1">
      <c r="A226" t="inlineStr">
        <is>
          <t>A 8558-2024</t>
        </is>
      </c>
      <c r="B226" s="1" t="n">
        <v>45355.57679398148</v>
      </c>
      <c r="C226" s="1" t="n">
        <v>46011</v>
      </c>
      <c r="D226" t="inlineStr">
        <is>
          <t>VÄSTRA GÖTALANDS LÄN</t>
        </is>
      </c>
      <c r="E226" t="inlineStr">
        <is>
          <t>KUNGÄLV</t>
        </is>
      </c>
      <c r="G226" t="n">
        <v>12.5</v>
      </c>
      <c r="H226" t="n">
        <v>3</v>
      </c>
      <c r="I226" t="n">
        <v>0</v>
      </c>
      <c r="J226" t="n">
        <v>2</v>
      </c>
      <c r="K226" t="n">
        <v>0</v>
      </c>
      <c r="L226" t="n">
        <v>0</v>
      </c>
      <c r="M226" t="n">
        <v>0</v>
      </c>
      <c r="N226" t="n">
        <v>0</v>
      </c>
      <c r="O226" t="n">
        <v>2</v>
      </c>
      <c r="P226" t="n">
        <v>0</v>
      </c>
      <c r="Q226" t="n">
        <v>3</v>
      </c>
      <c r="R226" s="2" t="inlineStr">
        <is>
          <t>Gulsparv
Spillkråka
Revlummer</t>
        </is>
      </c>
      <c r="S226">
        <f>HYPERLINK("https://klasma.github.io/Logging_1482/artfynd/A 8558-2024 artfynd.xlsx", "A 8558-2024")</f>
        <v/>
      </c>
      <c r="T226">
        <f>HYPERLINK("https://klasma.github.io/Logging_1482/kartor/A 8558-2024 karta.png", "A 8558-2024")</f>
        <v/>
      </c>
      <c r="V226">
        <f>HYPERLINK("https://klasma.github.io/Logging_1482/klagomål/A 8558-2024 FSC-klagomål.docx", "A 8558-2024")</f>
        <v/>
      </c>
      <c r="W226">
        <f>HYPERLINK("https://klasma.github.io/Logging_1482/klagomålsmail/A 8558-2024 FSC-klagomål mail.docx", "A 8558-2024")</f>
        <v/>
      </c>
      <c r="X226">
        <f>HYPERLINK("https://klasma.github.io/Logging_1482/tillsyn/A 8558-2024 tillsynsbegäran.docx", "A 8558-2024")</f>
        <v/>
      </c>
      <c r="Y226">
        <f>HYPERLINK("https://klasma.github.io/Logging_1482/tillsynsmail/A 8558-2024 tillsynsbegäran mail.docx", "A 8558-2024")</f>
        <v/>
      </c>
      <c r="Z226">
        <f>HYPERLINK("https://klasma.github.io/Logging_1482/fåglar/A 8558-2024 prioriterade fågelarter.docx", "A 8558-2024")</f>
        <v/>
      </c>
    </row>
    <row r="227" ht="15" customHeight="1">
      <c r="A227" t="inlineStr">
        <is>
          <t>A 59552-2025</t>
        </is>
      </c>
      <c r="B227" s="1" t="n">
        <v>45990.50856481482</v>
      </c>
      <c r="C227" s="1" t="n">
        <v>46011</v>
      </c>
      <c r="D227" t="inlineStr">
        <is>
          <t>VÄSTRA GÖTALANDS LÄN</t>
        </is>
      </c>
      <c r="E227" t="inlineStr">
        <is>
          <t>UDDEVALLA</t>
        </is>
      </c>
      <c r="G227" t="n">
        <v>5.1</v>
      </c>
      <c r="H227" t="n">
        <v>1</v>
      </c>
      <c r="I227" t="n">
        <v>2</v>
      </c>
      <c r="J227" t="n">
        <v>0</v>
      </c>
      <c r="K227" t="n">
        <v>0</v>
      </c>
      <c r="L227" t="n">
        <v>0</v>
      </c>
      <c r="M227" t="n">
        <v>0</v>
      </c>
      <c r="N227" t="n">
        <v>0</v>
      </c>
      <c r="O227" t="n">
        <v>0</v>
      </c>
      <c r="P227" t="n">
        <v>0</v>
      </c>
      <c r="Q227" t="n">
        <v>3</v>
      </c>
      <c r="R227" s="2" t="inlineStr">
        <is>
          <t>Kattfotslav
Stor revmossa
Revlummer</t>
        </is>
      </c>
      <c r="S227">
        <f>HYPERLINK("https://klasma.github.io/Logging_1485/artfynd/A 59552-2025 artfynd.xlsx", "A 59552-2025")</f>
        <v/>
      </c>
      <c r="T227">
        <f>HYPERLINK("https://klasma.github.io/Logging_1485/kartor/A 59552-2025 karta.png", "A 59552-2025")</f>
        <v/>
      </c>
      <c r="V227">
        <f>HYPERLINK("https://klasma.github.io/Logging_1485/klagomål/A 59552-2025 FSC-klagomål.docx", "A 59552-2025")</f>
        <v/>
      </c>
      <c r="W227">
        <f>HYPERLINK("https://klasma.github.io/Logging_1485/klagomålsmail/A 59552-2025 FSC-klagomål mail.docx", "A 59552-2025")</f>
        <v/>
      </c>
      <c r="X227">
        <f>HYPERLINK("https://klasma.github.io/Logging_1485/tillsyn/A 59552-2025 tillsynsbegäran.docx", "A 59552-2025")</f>
        <v/>
      </c>
      <c r="Y227">
        <f>HYPERLINK("https://klasma.github.io/Logging_1485/tillsynsmail/A 59552-2025 tillsynsbegäran mail.docx", "A 59552-2025")</f>
        <v/>
      </c>
    </row>
    <row r="228" ht="15" customHeight="1">
      <c r="A228" t="inlineStr">
        <is>
          <t>A 3764-2024</t>
        </is>
      </c>
      <c r="B228" s="1" t="n">
        <v>45321</v>
      </c>
      <c r="C228" s="1" t="n">
        <v>46011</v>
      </c>
      <c r="D228" t="inlineStr">
        <is>
          <t>VÄSTRA GÖTALANDS LÄN</t>
        </is>
      </c>
      <c r="E228" t="inlineStr">
        <is>
          <t>BORÅS</t>
        </is>
      </c>
      <c r="F228" t="inlineStr">
        <is>
          <t>Kommuner</t>
        </is>
      </c>
      <c r="G228" t="n">
        <v>8.300000000000001</v>
      </c>
      <c r="H228" t="n">
        <v>0</v>
      </c>
      <c r="I228" t="n">
        <v>3</v>
      </c>
      <c r="J228" t="n">
        <v>0</v>
      </c>
      <c r="K228" t="n">
        <v>0</v>
      </c>
      <c r="L228" t="n">
        <v>0</v>
      </c>
      <c r="M228" t="n">
        <v>0</v>
      </c>
      <c r="N228" t="n">
        <v>0</v>
      </c>
      <c r="O228" t="n">
        <v>0</v>
      </c>
      <c r="P228" t="n">
        <v>0</v>
      </c>
      <c r="Q228" t="n">
        <v>3</v>
      </c>
      <c r="R228" s="2" t="inlineStr">
        <is>
          <t>Kambräken
Stor revmossa
Västlig hakmossa</t>
        </is>
      </c>
      <c r="S228">
        <f>HYPERLINK("https://klasma.github.io/Logging_1490/artfynd/A 3764-2024 artfynd.xlsx", "A 3764-2024")</f>
        <v/>
      </c>
      <c r="T228">
        <f>HYPERLINK("https://klasma.github.io/Logging_1490/kartor/A 3764-2024 karta.png", "A 3764-2024")</f>
        <v/>
      </c>
      <c r="V228">
        <f>HYPERLINK("https://klasma.github.io/Logging_1490/klagomål/A 3764-2024 FSC-klagomål.docx", "A 3764-2024")</f>
        <v/>
      </c>
      <c r="W228">
        <f>HYPERLINK("https://klasma.github.io/Logging_1490/klagomålsmail/A 3764-2024 FSC-klagomål mail.docx", "A 3764-2024")</f>
        <v/>
      </c>
      <c r="X228">
        <f>HYPERLINK("https://klasma.github.io/Logging_1490/tillsyn/A 3764-2024 tillsynsbegäran.docx", "A 3764-2024")</f>
        <v/>
      </c>
      <c r="Y228">
        <f>HYPERLINK("https://klasma.github.io/Logging_1490/tillsynsmail/A 3764-2024 tillsynsbegäran mail.docx", "A 3764-2024")</f>
        <v/>
      </c>
    </row>
    <row r="229" ht="15" customHeight="1">
      <c r="A229" t="inlineStr">
        <is>
          <t>A 17615-2025</t>
        </is>
      </c>
      <c r="B229" s="1" t="n">
        <v>45757.80203703704</v>
      </c>
      <c r="C229" s="1" t="n">
        <v>46011</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53197-2023</t>
        </is>
      </c>
      <c r="B230" s="1" t="n">
        <v>45229.4496875</v>
      </c>
      <c r="C230" s="1" t="n">
        <v>46011</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53008-2025</t>
        </is>
      </c>
      <c r="B231" s="1" t="n">
        <v>45957</v>
      </c>
      <c r="C231" s="1" t="n">
        <v>46011</v>
      </c>
      <c r="D231" t="inlineStr">
        <is>
          <t>VÄSTRA GÖTALANDS LÄN</t>
        </is>
      </c>
      <c r="E231" t="inlineStr">
        <is>
          <t>KUNGÄLV</t>
        </is>
      </c>
      <c r="G231" t="n">
        <v>2.9</v>
      </c>
      <c r="H231" t="n">
        <v>1</v>
      </c>
      <c r="I231" t="n">
        <v>2</v>
      </c>
      <c r="J231" t="n">
        <v>1</v>
      </c>
      <c r="K231" t="n">
        <v>0</v>
      </c>
      <c r="L231" t="n">
        <v>0</v>
      </c>
      <c r="M231" t="n">
        <v>0</v>
      </c>
      <c r="N231" t="n">
        <v>0</v>
      </c>
      <c r="O231" t="n">
        <v>1</v>
      </c>
      <c r="P231" t="n">
        <v>0</v>
      </c>
      <c r="Q231" t="n">
        <v>3</v>
      </c>
      <c r="R231" s="2" t="inlineStr">
        <is>
          <t>Spillkråka
Kambräken
Västlig hakmossa</t>
        </is>
      </c>
      <c r="S231">
        <f>HYPERLINK("https://klasma.github.io/Logging_1482/artfynd/A 53008-2025 artfynd.xlsx", "A 53008-2025")</f>
        <v/>
      </c>
      <c r="T231">
        <f>HYPERLINK("https://klasma.github.io/Logging_1482/kartor/A 53008-2025 karta.png", "A 53008-2025")</f>
        <v/>
      </c>
      <c r="V231">
        <f>HYPERLINK("https://klasma.github.io/Logging_1482/klagomål/A 53008-2025 FSC-klagomål.docx", "A 53008-2025")</f>
        <v/>
      </c>
      <c r="W231">
        <f>HYPERLINK("https://klasma.github.io/Logging_1482/klagomålsmail/A 53008-2025 FSC-klagomål mail.docx", "A 53008-2025")</f>
        <v/>
      </c>
      <c r="X231">
        <f>HYPERLINK("https://klasma.github.io/Logging_1482/tillsyn/A 53008-2025 tillsynsbegäran.docx", "A 53008-2025")</f>
        <v/>
      </c>
      <c r="Y231">
        <f>HYPERLINK("https://klasma.github.io/Logging_1482/tillsynsmail/A 53008-2025 tillsynsbegäran mail.docx", "A 53008-2025")</f>
        <v/>
      </c>
      <c r="Z231">
        <f>HYPERLINK("https://klasma.github.io/Logging_1482/fåglar/A 53008-2025 prioriterade fågelarter.docx", "A 53008-2025")</f>
        <v/>
      </c>
    </row>
    <row r="232" ht="15" customHeight="1">
      <c r="A232" t="inlineStr">
        <is>
          <t>A 1171-2023</t>
        </is>
      </c>
      <c r="B232" s="1" t="n">
        <v>44935.68083333333</v>
      </c>
      <c r="C232" s="1" t="n">
        <v>46011</v>
      </c>
      <c r="D232" t="inlineStr">
        <is>
          <t>VÄSTRA GÖTALANDS LÄN</t>
        </is>
      </c>
      <c r="E232" t="inlineStr">
        <is>
          <t>FÄRGELANDA</t>
        </is>
      </c>
      <c r="G232" t="n">
        <v>6.8</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HYPERLINK("https://klasma.github.io/Logging_1439/artfynd/A 1171-2023 artfynd.xlsx", "A 1171-2023")</f>
        <v/>
      </c>
      <c r="T232">
        <f>HYPERLINK("https://klasma.github.io/Logging_1439/kartor/A 1171-2023 karta.png", "A 1171-2023")</f>
        <v/>
      </c>
      <c r="V232">
        <f>HYPERLINK("https://klasma.github.io/Logging_1439/klagomål/A 1171-2023 FSC-klagomål.docx", "A 1171-2023")</f>
        <v/>
      </c>
      <c r="W232">
        <f>HYPERLINK("https://klasma.github.io/Logging_1439/klagomålsmail/A 1171-2023 FSC-klagomål mail.docx", "A 1171-2023")</f>
        <v/>
      </c>
      <c r="X232">
        <f>HYPERLINK("https://klasma.github.io/Logging_1439/tillsyn/A 1171-2023 tillsynsbegäran.docx", "A 1171-2023")</f>
        <v/>
      </c>
      <c r="Y232">
        <f>HYPERLINK("https://klasma.github.io/Logging_1439/tillsynsmail/A 1171-2023 tillsynsbegäran mail.docx", "A 1171-2023")</f>
        <v/>
      </c>
      <c r="Z232">
        <f>HYPERLINK("https://klasma.github.io/Logging_1439/fåglar/A 1171-2023 prioriterade fågelarter.docx", "A 1171-2023")</f>
        <v/>
      </c>
    </row>
    <row r="233" ht="15" customHeight="1">
      <c r="A233" t="inlineStr">
        <is>
          <t>A 55111-2025</t>
        </is>
      </c>
      <c r="B233" s="1" t="n">
        <v>45968.3796412037</v>
      </c>
      <c r="C233" s="1" t="n">
        <v>46011</v>
      </c>
      <c r="D233" t="inlineStr">
        <is>
          <t>VÄSTRA GÖTALANDS LÄN</t>
        </is>
      </c>
      <c r="E233" t="inlineStr">
        <is>
          <t>LERUM</t>
        </is>
      </c>
      <c r="G233" t="n">
        <v>2.1</v>
      </c>
      <c r="H233" t="n">
        <v>0</v>
      </c>
      <c r="I233" t="n">
        <v>3</v>
      </c>
      <c r="J233" t="n">
        <v>0</v>
      </c>
      <c r="K233" t="n">
        <v>0</v>
      </c>
      <c r="L233" t="n">
        <v>0</v>
      </c>
      <c r="M233" t="n">
        <v>0</v>
      </c>
      <c r="N233" t="n">
        <v>0</v>
      </c>
      <c r="O233" t="n">
        <v>0</v>
      </c>
      <c r="P233" t="n">
        <v>0</v>
      </c>
      <c r="Q233" t="n">
        <v>3</v>
      </c>
      <c r="R233" s="2" t="inlineStr">
        <is>
          <t>Blåmossa
Stor revmossa
Västlig hakmossa</t>
        </is>
      </c>
      <c r="S233">
        <f>HYPERLINK("https://klasma.github.io/Logging_1441/artfynd/A 55111-2025 artfynd.xlsx", "A 55111-2025")</f>
        <v/>
      </c>
      <c r="T233">
        <f>HYPERLINK("https://klasma.github.io/Logging_1441/kartor/A 55111-2025 karta.png", "A 55111-2025")</f>
        <v/>
      </c>
      <c r="V233">
        <f>HYPERLINK("https://klasma.github.io/Logging_1441/klagomål/A 55111-2025 FSC-klagomål.docx", "A 55111-2025")</f>
        <v/>
      </c>
      <c r="W233">
        <f>HYPERLINK("https://klasma.github.io/Logging_1441/klagomålsmail/A 55111-2025 FSC-klagomål mail.docx", "A 55111-2025")</f>
        <v/>
      </c>
      <c r="X233">
        <f>HYPERLINK("https://klasma.github.io/Logging_1441/tillsyn/A 55111-2025 tillsynsbegäran.docx", "A 55111-2025")</f>
        <v/>
      </c>
      <c r="Y233">
        <f>HYPERLINK("https://klasma.github.io/Logging_1441/tillsynsmail/A 55111-2025 tillsynsbegäran mail.docx", "A 55111-2025")</f>
        <v/>
      </c>
    </row>
    <row r="234" ht="15" customHeight="1">
      <c r="A234" t="inlineStr">
        <is>
          <t>A 15201-2025</t>
        </is>
      </c>
      <c r="B234" s="1" t="n">
        <v>45744.56789351852</v>
      </c>
      <c r="C234" s="1" t="n">
        <v>46011</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23414-2023</t>
        </is>
      </c>
      <c r="B235" s="1" t="n">
        <v>45076</v>
      </c>
      <c r="C235" s="1" t="n">
        <v>46011</v>
      </c>
      <c r="D235" t="inlineStr">
        <is>
          <t>VÄSTRA GÖTALANDS LÄN</t>
        </is>
      </c>
      <c r="E235" t="inlineStr">
        <is>
          <t>GÖTENE</t>
        </is>
      </c>
      <c r="G235" t="n">
        <v>3.1</v>
      </c>
      <c r="H235" t="n">
        <v>1</v>
      </c>
      <c r="I235" t="n">
        <v>1</v>
      </c>
      <c r="J235" t="n">
        <v>0</v>
      </c>
      <c r="K235" t="n">
        <v>0</v>
      </c>
      <c r="L235" t="n">
        <v>1</v>
      </c>
      <c r="M235" t="n">
        <v>0</v>
      </c>
      <c r="N235" t="n">
        <v>0</v>
      </c>
      <c r="O235" t="n">
        <v>1</v>
      </c>
      <c r="P235" t="n">
        <v>1</v>
      </c>
      <c r="Q235" t="n">
        <v>3</v>
      </c>
      <c r="R235" s="2" t="inlineStr">
        <is>
          <t>Ask
Scharlakansskål
Pärluggla</t>
        </is>
      </c>
      <c r="S235">
        <f>HYPERLINK("https://klasma.github.io/Logging_1471/artfynd/A 23414-2023 artfynd.xlsx", "A 23414-2023")</f>
        <v/>
      </c>
      <c r="T235">
        <f>HYPERLINK("https://klasma.github.io/Logging_1471/kartor/A 23414-2023 karta.png", "A 23414-2023")</f>
        <v/>
      </c>
      <c r="V235">
        <f>HYPERLINK("https://klasma.github.io/Logging_1471/klagomål/A 23414-2023 FSC-klagomål.docx", "A 23414-2023")</f>
        <v/>
      </c>
      <c r="W235">
        <f>HYPERLINK("https://klasma.github.io/Logging_1471/klagomålsmail/A 23414-2023 FSC-klagomål mail.docx", "A 23414-2023")</f>
        <v/>
      </c>
      <c r="X235">
        <f>HYPERLINK("https://klasma.github.io/Logging_1471/tillsyn/A 23414-2023 tillsynsbegäran.docx", "A 23414-2023")</f>
        <v/>
      </c>
      <c r="Y235">
        <f>HYPERLINK("https://klasma.github.io/Logging_1471/tillsynsmail/A 23414-2023 tillsynsbegäran mail.docx", "A 23414-2023")</f>
        <v/>
      </c>
      <c r="Z235">
        <f>HYPERLINK("https://klasma.github.io/Logging_1471/fåglar/A 23414-2023 prioriterade fågelarter.docx", "A 23414-2023")</f>
        <v/>
      </c>
    </row>
    <row r="236" ht="15" customHeight="1">
      <c r="A236" t="inlineStr">
        <is>
          <t>A 13606-2022</t>
        </is>
      </c>
      <c r="B236" s="1" t="n">
        <v>44648</v>
      </c>
      <c r="C236" s="1" t="n">
        <v>46011</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37930-2023</t>
        </is>
      </c>
      <c r="B237" s="1" t="n">
        <v>45160.50649305555</v>
      </c>
      <c r="C237" s="1" t="n">
        <v>46011</v>
      </c>
      <c r="D237" t="inlineStr">
        <is>
          <t>VÄSTRA GÖTALANDS LÄN</t>
        </is>
      </c>
      <c r="E237" t="inlineStr">
        <is>
          <t>TANUM</t>
        </is>
      </c>
      <c r="G237" t="n">
        <v>5.2</v>
      </c>
      <c r="H237" t="n">
        <v>0</v>
      </c>
      <c r="I237" t="n">
        <v>1</v>
      </c>
      <c r="J237" t="n">
        <v>2</v>
      </c>
      <c r="K237" t="n">
        <v>0</v>
      </c>
      <c r="L237" t="n">
        <v>0</v>
      </c>
      <c r="M237" t="n">
        <v>0</v>
      </c>
      <c r="N237" t="n">
        <v>0</v>
      </c>
      <c r="O237" t="n">
        <v>2</v>
      </c>
      <c r="P237" t="n">
        <v>0</v>
      </c>
      <c r="Q237" t="n">
        <v>3</v>
      </c>
      <c r="R237" s="2" t="inlineStr">
        <is>
          <t>Dofttaggsvamp
Orange taggsvamp
Skarp dropptaggsvamp</t>
        </is>
      </c>
      <c r="S237">
        <f>HYPERLINK("https://klasma.github.io/Logging_1435/artfynd/A 37930-2023 artfynd.xlsx", "A 37930-2023")</f>
        <v/>
      </c>
      <c r="T237">
        <f>HYPERLINK("https://klasma.github.io/Logging_1435/kartor/A 37930-2023 karta.png", "A 37930-2023")</f>
        <v/>
      </c>
      <c r="V237">
        <f>HYPERLINK("https://klasma.github.io/Logging_1435/klagomål/A 37930-2023 FSC-klagomål.docx", "A 37930-2023")</f>
        <v/>
      </c>
      <c r="W237">
        <f>HYPERLINK("https://klasma.github.io/Logging_1435/klagomålsmail/A 37930-2023 FSC-klagomål mail.docx", "A 37930-2023")</f>
        <v/>
      </c>
      <c r="X237">
        <f>HYPERLINK("https://klasma.github.io/Logging_1435/tillsyn/A 37930-2023 tillsynsbegäran.docx", "A 37930-2023")</f>
        <v/>
      </c>
      <c r="Y237">
        <f>HYPERLINK("https://klasma.github.io/Logging_1435/tillsynsmail/A 37930-2023 tillsynsbegäran mail.docx", "A 37930-2023")</f>
        <v/>
      </c>
    </row>
    <row r="238" ht="15" customHeight="1">
      <c r="A238" t="inlineStr">
        <is>
          <t>A 6043-2024</t>
        </is>
      </c>
      <c r="B238" s="1" t="n">
        <v>45336</v>
      </c>
      <c r="C238" s="1" t="n">
        <v>46011</v>
      </c>
      <c r="D238" t="inlineStr">
        <is>
          <t>VÄSTRA GÖTALANDS LÄN</t>
        </is>
      </c>
      <c r="E238" t="inlineStr">
        <is>
          <t>STRÖMSTAD</t>
        </is>
      </c>
      <c r="G238" t="n">
        <v>0.7</v>
      </c>
      <c r="H238" t="n">
        <v>2</v>
      </c>
      <c r="I238" t="n">
        <v>1</v>
      </c>
      <c r="J238" t="n">
        <v>0</v>
      </c>
      <c r="K238" t="n">
        <v>1</v>
      </c>
      <c r="L238" t="n">
        <v>0</v>
      </c>
      <c r="M238" t="n">
        <v>0</v>
      </c>
      <c r="N238" t="n">
        <v>0</v>
      </c>
      <c r="O238" t="n">
        <v>1</v>
      </c>
      <c r="P238" t="n">
        <v>1</v>
      </c>
      <c r="Q238" t="n">
        <v>3</v>
      </c>
      <c r="R238" s="2" t="inlineStr">
        <is>
          <t>Knärot
Grönpyrola
Revlummer</t>
        </is>
      </c>
      <c r="S238">
        <f>HYPERLINK("https://klasma.github.io/Logging_1486/artfynd/A 6043-2024 artfynd.xlsx", "A 6043-2024")</f>
        <v/>
      </c>
      <c r="T238">
        <f>HYPERLINK("https://klasma.github.io/Logging_1486/kartor/A 6043-2024 karta.png", "A 6043-2024")</f>
        <v/>
      </c>
      <c r="U238">
        <f>HYPERLINK("https://klasma.github.io/Logging_1486/knärot/A 6043-2024 karta knärot.png", "A 6043-2024")</f>
        <v/>
      </c>
      <c r="V238">
        <f>HYPERLINK("https://klasma.github.io/Logging_1486/klagomål/A 6043-2024 FSC-klagomål.docx", "A 6043-2024")</f>
        <v/>
      </c>
      <c r="W238">
        <f>HYPERLINK("https://klasma.github.io/Logging_1486/klagomålsmail/A 6043-2024 FSC-klagomål mail.docx", "A 6043-2024")</f>
        <v/>
      </c>
      <c r="X238">
        <f>HYPERLINK("https://klasma.github.io/Logging_1486/tillsyn/A 6043-2024 tillsynsbegäran.docx", "A 6043-2024")</f>
        <v/>
      </c>
      <c r="Y238">
        <f>HYPERLINK("https://klasma.github.io/Logging_1486/tillsynsmail/A 6043-2024 tillsynsbegäran mail.docx", "A 6043-2024")</f>
        <v/>
      </c>
    </row>
    <row r="239" ht="15" customHeight="1">
      <c r="A239" t="inlineStr">
        <is>
          <t>A 60176-2021</t>
        </is>
      </c>
      <c r="B239" s="1" t="n">
        <v>44495</v>
      </c>
      <c r="C239" s="1" t="n">
        <v>46011</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59364-2023</t>
        </is>
      </c>
      <c r="B240" s="1" t="n">
        <v>45253</v>
      </c>
      <c r="C240" s="1" t="n">
        <v>46011</v>
      </c>
      <c r="D240" t="inlineStr">
        <is>
          <t>VÄSTRA GÖTALANDS LÄN</t>
        </is>
      </c>
      <c r="E240" t="inlineStr">
        <is>
          <t>MELLERUD</t>
        </is>
      </c>
      <c r="G240" t="n">
        <v>0.9</v>
      </c>
      <c r="H240" t="n">
        <v>0</v>
      </c>
      <c r="I240" t="n">
        <v>2</v>
      </c>
      <c r="J240" t="n">
        <v>0</v>
      </c>
      <c r="K240" t="n">
        <v>1</v>
      </c>
      <c r="L240" t="n">
        <v>0</v>
      </c>
      <c r="M240" t="n">
        <v>0</v>
      </c>
      <c r="N240" t="n">
        <v>0</v>
      </c>
      <c r="O240" t="n">
        <v>1</v>
      </c>
      <c r="P240" t="n">
        <v>1</v>
      </c>
      <c r="Q240" t="n">
        <v>3</v>
      </c>
      <c r="R240" s="2" t="inlineStr">
        <is>
          <t>Grangråticka
Fjällig taggsvamp s.str.
Zontaggsvamp</t>
        </is>
      </c>
      <c r="S240">
        <f>HYPERLINK("https://klasma.github.io/Logging_1461/artfynd/A 59364-2023 artfynd.xlsx", "A 59364-2023")</f>
        <v/>
      </c>
      <c r="T240">
        <f>HYPERLINK("https://klasma.github.io/Logging_1461/kartor/A 59364-2023 karta.png", "A 59364-2023")</f>
        <v/>
      </c>
      <c r="V240">
        <f>HYPERLINK("https://klasma.github.io/Logging_1461/klagomål/A 59364-2023 FSC-klagomål.docx", "A 59364-2023")</f>
        <v/>
      </c>
      <c r="W240">
        <f>HYPERLINK("https://klasma.github.io/Logging_1461/klagomålsmail/A 59364-2023 FSC-klagomål mail.docx", "A 59364-2023")</f>
        <v/>
      </c>
      <c r="X240">
        <f>HYPERLINK("https://klasma.github.io/Logging_1461/tillsyn/A 59364-2023 tillsynsbegäran.docx", "A 59364-2023")</f>
        <v/>
      </c>
      <c r="Y240">
        <f>HYPERLINK("https://klasma.github.io/Logging_1461/tillsynsmail/A 59364-2023 tillsynsbegäran mail.docx", "A 59364-2023")</f>
        <v/>
      </c>
    </row>
    <row r="241" ht="15" customHeight="1">
      <c r="A241" t="inlineStr">
        <is>
          <t>A 5767-2023</t>
        </is>
      </c>
      <c r="B241" s="1" t="n">
        <v>44963</v>
      </c>
      <c r="C241" s="1" t="n">
        <v>46011</v>
      </c>
      <c r="D241" t="inlineStr">
        <is>
          <t>VÄSTRA GÖTALANDS LÄN</t>
        </is>
      </c>
      <c r="E241" t="inlineStr">
        <is>
          <t>TROLLHÄTTAN</t>
        </is>
      </c>
      <c r="G241" t="n">
        <v>2.8</v>
      </c>
      <c r="H241" t="n">
        <v>3</v>
      </c>
      <c r="I241" t="n">
        <v>0</v>
      </c>
      <c r="J241" t="n">
        <v>1</v>
      </c>
      <c r="K241" t="n">
        <v>0</v>
      </c>
      <c r="L241" t="n">
        <v>0</v>
      </c>
      <c r="M241" t="n">
        <v>0</v>
      </c>
      <c r="N241" t="n">
        <v>0</v>
      </c>
      <c r="O241" t="n">
        <v>1</v>
      </c>
      <c r="P241" t="n">
        <v>0</v>
      </c>
      <c r="Q241" t="n">
        <v>3</v>
      </c>
      <c r="R241" s="2" t="inlineStr">
        <is>
          <t>Havsörn
Tjäder
Trana</t>
        </is>
      </c>
      <c r="S241">
        <f>HYPERLINK("https://klasma.github.io/Logging_1488/artfynd/A 5767-2023 artfynd.xlsx", "A 5767-2023")</f>
        <v/>
      </c>
      <c r="T241">
        <f>HYPERLINK("https://klasma.github.io/Logging_1488/kartor/A 5767-2023 karta.png", "A 5767-2023")</f>
        <v/>
      </c>
      <c r="V241">
        <f>HYPERLINK("https://klasma.github.io/Logging_1488/klagomål/A 5767-2023 FSC-klagomål.docx", "A 5767-2023")</f>
        <v/>
      </c>
      <c r="W241">
        <f>HYPERLINK("https://klasma.github.io/Logging_1488/klagomålsmail/A 5767-2023 FSC-klagomål mail.docx", "A 5767-2023")</f>
        <v/>
      </c>
      <c r="X241">
        <f>HYPERLINK("https://klasma.github.io/Logging_1488/tillsyn/A 5767-2023 tillsynsbegäran.docx", "A 5767-2023")</f>
        <v/>
      </c>
      <c r="Y241">
        <f>HYPERLINK("https://klasma.github.io/Logging_1488/tillsynsmail/A 5767-2023 tillsynsbegäran mail.docx", "A 5767-2023")</f>
        <v/>
      </c>
      <c r="Z241">
        <f>HYPERLINK("https://klasma.github.io/Logging_1488/fåglar/A 5767-2023 prioriterade fågelarter.docx", "A 5767-2023")</f>
        <v/>
      </c>
    </row>
    <row r="242" ht="15" customHeight="1">
      <c r="A242" t="inlineStr">
        <is>
          <t>A 8596-2022</t>
        </is>
      </c>
      <c r="B242" s="1" t="n">
        <v>44613.56583333333</v>
      </c>
      <c r="C242" s="1" t="n">
        <v>46011</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8924-2022</t>
        </is>
      </c>
      <c r="B243" s="1" t="n">
        <v>44614</v>
      </c>
      <c r="C243" s="1" t="n">
        <v>46011</v>
      </c>
      <c r="D243" t="inlineStr">
        <is>
          <t>VÄSTRA GÖTALANDS LÄN</t>
        </is>
      </c>
      <c r="E243" t="inlineStr">
        <is>
          <t>GULLSPÅNG</t>
        </is>
      </c>
      <c r="F243" t="inlineStr">
        <is>
          <t>Kyrkan</t>
        </is>
      </c>
      <c r="G243" t="n">
        <v>3.9</v>
      </c>
      <c r="H243" t="n">
        <v>3</v>
      </c>
      <c r="I243" t="n">
        <v>0</v>
      </c>
      <c r="J243" t="n">
        <v>0</v>
      </c>
      <c r="K243" t="n">
        <v>0</v>
      </c>
      <c r="L243" t="n">
        <v>0</v>
      </c>
      <c r="M243" t="n">
        <v>0</v>
      </c>
      <c r="N243" t="n">
        <v>0</v>
      </c>
      <c r="O243" t="n">
        <v>0</v>
      </c>
      <c r="P243" t="n">
        <v>0</v>
      </c>
      <c r="Q243" t="n">
        <v>3</v>
      </c>
      <c r="R243" s="2" t="inlineStr">
        <is>
          <t>Åkergroda
Vanlig groda
Vanlig padda</t>
        </is>
      </c>
      <c r="S243">
        <f>HYPERLINK("https://klasma.github.io/Logging_1447/artfynd/A 8924-2022 artfynd.xlsx", "A 8924-2022")</f>
        <v/>
      </c>
      <c r="T243">
        <f>HYPERLINK("https://klasma.github.io/Logging_1447/kartor/A 8924-2022 karta.png", "A 8924-2022")</f>
        <v/>
      </c>
      <c r="V243">
        <f>HYPERLINK("https://klasma.github.io/Logging_1447/klagomål/A 8924-2022 FSC-klagomål.docx", "A 8924-2022")</f>
        <v/>
      </c>
      <c r="W243">
        <f>HYPERLINK("https://klasma.github.io/Logging_1447/klagomålsmail/A 8924-2022 FSC-klagomål mail.docx", "A 8924-2022")</f>
        <v/>
      </c>
      <c r="X243">
        <f>HYPERLINK("https://klasma.github.io/Logging_1447/tillsyn/A 8924-2022 tillsynsbegäran.docx", "A 8924-2022")</f>
        <v/>
      </c>
      <c r="Y243">
        <f>HYPERLINK("https://klasma.github.io/Logging_1447/tillsynsmail/A 8924-2022 tillsynsbegäran mail.docx", "A 8924-2022")</f>
        <v/>
      </c>
    </row>
    <row r="244" ht="15" customHeight="1">
      <c r="A244" t="inlineStr">
        <is>
          <t>A 18328-2024</t>
        </is>
      </c>
      <c r="B244" s="1" t="n">
        <v>45422.55782407407</v>
      </c>
      <c r="C244" s="1" t="n">
        <v>46011</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51221-2022</t>
        </is>
      </c>
      <c r="B245" s="1" t="n">
        <v>44868</v>
      </c>
      <c r="C245" s="1" t="n">
        <v>46011</v>
      </c>
      <c r="D245" t="inlineStr">
        <is>
          <t>VÄSTRA GÖTALANDS LÄN</t>
        </is>
      </c>
      <c r="E245" t="inlineStr">
        <is>
          <t>ALINGSÅS</t>
        </is>
      </c>
      <c r="G245" t="n">
        <v>1.4</v>
      </c>
      <c r="H245" t="n">
        <v>2</v>
      </c>
      <c r="I245" t="n">
        <v>1</v>
      </c>
      <c r="J245" t="n">
        <v>2</v>
      </c>
      <c r="K245" t="n">
        <v>0</v>
      </c>
      <c r="L245" t="n">
        <v>0</v>
      </c>
      <c r="M245" t="n">
        <v>0</v>
      </c>
      <c r="N245" t="n">
        <v>0</v>
      </c>
      <c r="O245" t="n">
        <v>2</v>
      </c>
      <c r="P245" t="n">
        <v>0</v>
      </c>
      <c r="Q245" t="n">
        <v>3</v>
      </c>
      <c r="R245" s="2" t="inlineStr">
        <is>
          <t>Entita
Gulsparv
Tibast</t>
        </is>
      </c>
      <c r="S245">
        <f>HYPERLINK("https://klasma.github.io/Logging_1489/artfynd/A 51221-2022 artfynd.xlsx", "A 51221-2022")</f>
        <v/>
      </c>
      <c r="T245">
        <f>HYPERLINK("https://klasma.github.io/Logging_1489/kartor/A 51221-2022 karta.png", "A 51221-2022")</f>
        <v/>
      </c>
      <c r="V245">
        <f>HYPERLINK("https://klasma.github.io/Logging_1489/klagomål/A 51221-2022 FSC-klagomål.docx", "A 51221-2022")</f>
        <v/>
      </c>
      <c r="W245">
        <f>HYPERLINK("https://klasma.github.io/Logging_1489/klagomålsmail/A 51221-2022 FSC-klagomål mail.docx", "A 51221-2022")</f>
        <v/>
      </c>
      <c r="X245">
        <f>HYPERLINK("https://klasma.github.io/Logging_1489/tillsyn/A 51221-2022 tillsynsbegäran.docx", "A 51221-2022")</f>
        <v/>
      </c>
      <c r="Y245">
        <f>HYPERLINK("https://klasma.github.io/Logging_1489/tillsynsmail/A 51221-2022 tillsynsbegäran mail.docx", "A 51221-2022")</f>
        <v/>
      </c>
      <c r="Z245">
        <f>HYPERLINK("https://klasma.github.io/Logging_1489/fåglar/A 51221-2022 prioriterade fågelarter.docx", "A 51221-2022")</f>
        <v/>
      </c>
    </row>
    <row r="246" ht="15" customHeight="1">
      <c r="A246" t="inlineStr">
        <is>
          <t>A 20977-2025</t>
        </is>
      </c>
      <c r="B246" s="1" t="n">
        <v>45777.46130787037</v>
      </c>
      <c r="C246" s="1" t="n">
        <v>46011</v>
      </c>
      <c r="D246" t="inlineStr">
        <is>
          <t>VÄSTRA GÖTALANDS LÄN</t>
        </is>
      </c>
      <c r="E246" t="inlineStr">
        <is>
          <t>TÖREBODA</t>
        </is>
      </c>
      <c r="F246" t="inlineStr">
        <is>
          <t>Sveaskog</t>
        </is>
      </c>
      <c r="G246" t="n">
        <v>5</v>
      </c>
      <c r="H246" t="n">
        <v>1</v>
      </c>
      <c r="I246" t="n">
        <v>0</v>
      </c>
      <c r="J246" t="n">
        <v>2</v>
      </c>
      <c r="K246" t="n">
        <v>0</v>
      </c>
      <c r="L246" t="n">
        <v>0</v>
      </c>
      <c r="M246" t="n">
        <v>0</v>
      </c>
      <c r="N246" t="n">
        <v>0</v>
      </c>
      <c r="O246" t="n">
        <v>2</v>
      </c>
      <c r="P246" t="n">
        <v>0</v>
      </c>
      <c r="Q246" t="n">
        <v>3</v>
      </c>
      <c r="R246" s="2" t="inlineStr">
        <is>
          <t>Gullklöver
Skogsklocka
Grönvit nattviol</t>
        </is>
      </c>
      <c r="S246">
        <f>HYPERLINK("https://klasma.github.io/Logging_1473/artfynd/A 20977-2025 artfynd.xlsx", "A 20977-2025")</f>
        <v/>
      </c>
      <c r="T246">
        <f>HYPERLINK("https://klasma.github.io/Logging_1473/kartor/A 20977-2025 karta.png", "A 20977-2025")</f>
        <v/>
      </c>
      <c r="V246">
        <f>HYPERLINK("https://klasma.github.io/Logging_1473/klagomål/A 20977-2025 FSC-klagomål.docx", "A 20977-2025")</f>
        <v/>
      </c>
      <c r="W246">
        <f>HYPERLINK("https://klasma.github.io/Logging_1473/klagomålsmail/A 20977-2025 FSC-klagomål mail.docx", "A 20977-2025")</f>
        <v/>
      </c>
      <c r="X246">
        <f>HYPERLINK("https://klasma.github.io/Logging_1473/tillsyn/A 20977-2025 tillsynsbegäran.docx", "A 20977-2025")</f>
        <v/>
      </c>
      <c r="Y246">
        <f>HYPERLINK("https://klasma.github.io/Logging_1473/tillsynsmail/A 20977-2025 tillsynsbegäran mail.docx", "A 20977-2025")</f>
        <v/>
      </c>
    </row>
    <row r="247" ht="15" customHeight="1">
      <c r="A247" t="inlineStr">
        <is>
          <t>A 22268-2025</t>
        </is>
      </c>
      <c r="B247" s="1" t="n">
        <v>45785</v>
      </c>
      <c r="C247" s="1" t="n">
        <v>46011</v>
      </c>
      <c r="D247" t="inlineStr">
        <is>
          <t>VÄSTRA GÖTALANDS LÄN</t>
        </is>
      </c>
      <c r="E247" t="inlineStr">
        <is>
          <t>SKÖVDE</t>
        </is>
      </c>
      <c r="G247" t="n">
        <v>1.4</v>
      </c>
      <c r="H247" t="n">
        <v>1</v>
      </c>
      <c r="I247" t="n">
        <v>0</v>
      </c>
      <c r="J247" t="n">
        <v>2</v>
      </c>
      <c r="K247" t="n">
        <v>1</v>
      </c>
      <c r="L247" t="n">
        <v>0</v>
      </c>
      <c r="M247" t="n">
        <v>0</v>
      </c>
      <c r="N247" t="n">
        <v>0</v>
      </c>
      <c r="O247" t="n">
        <v>3</v>
      </c>
      <c r="P247" t="n">
        <v>1</v>
      </c>
      <c r="Q247" t="n">
        <v>3</v>
      </c>
      <c r="R247" s="2" t="inlineStr">
        <is>
          <t>Knärot
Motaggsvamp
Svart taggsvamp</t>
        </is>
      </c>
      <c r="S247">
        <f>HYPERLINK("https://klasma.github.io/Logging_1496/artfynd/A 22268-2025 artfynd.xlsx", "A 22268-2025")</f>
        <v/>
      </c>
      <c r="T247">
        <f>HYPERLINK("https://klasma.github.io/Logging_1496/kartor/A 22268-2025 karta.png", "A 22268-2025")</f>
        <v/>
      </c>
      <c r="U247">
        <f>HYPERLINK("https://klasma.github.io/Logging_1496/knärot/A 22268-2025 karta knärot.png", "A 22268-2025")</f>
        <v/>
      </c>
      <c r="V247">
        <f>HYPERLINK("https://klasma.github.io/Logging_1496/klagomål/A 22268-2025 FSC-klagomål.docx", "A 22268-2025")</f>
        <v/>
      </c>
      <c r="W247">
        <f>HYPERLINK("https://klasma.github.io/Logging_1496/klagomålsmail/A 22268-2025 FSC-klagomål mail.docx", "A 22268-2025")</f>
        <v/>
      </c>
      <c r="X247">
        <f>HYPERLINK("https://klasma.github.io/Logging_1496/tillsyn/A 22268-2025 tillsynsbegäran.docx", "A 22268-2025")</f>
        <v/>
      </c>
      <c r="Y247">
        <f>HYPERLINK("https://klasma.github.io/Logging_1496/tillsynsmail/A 22268-2025 tillsynsbegäran mail.docx", "A 22268-2025")</f>
        <v/>
      </c>
    </row>
    <row r="248" ht="15" customHeight="1">
      <c r="A248" t="inlineStr">
        <is>
          <t>A 11794-2025</t>
        </is>
      </c>
      <c r="B248" s="1" t="n">
        <v>45727.73962962963</v>
      </c>
      <c r="C248" s="1" t="n">
        <v>46011</v>
      </c>
      <c r="D248" t="inlineStr">
        <is>
          <t>VÄSTRA GÖTALANDS LÄN</t>
        </is>
      </c>
      <c r="E248" t="inlineStr">
        <is>
          <t>STENUNGSUND</t>
        </is>
      </c>
      <c r="G248" t="n">
        <v>2.5</v>
      </c>
      <c r="H248" t="n">
        <v>2</v>
      </c>
      <c r="I248" t="n">
        <v>0</v>
      </c>
      <c r="J248" t="n">
        <v>1</v>
      </c>
      <c r="K248" t="n">
        <v>0</v>
      </c>
      <c r="L248" t="n">
        <v>0</v>
      </c>
      <c r="M248" t="n">
        <v>0</v>
      </c>
      <c r="N248" t="n">
        <v>0</v>
      </c>
      <c r="O248" t="n">
        <v>1</v>
      </c>
      <c r="P248" t="n">
        <v>0</v>
      </c>
      <c r="Q248" t="n">
        <v>3</v>
      </c>
      <c r="R248" s="2" t="inlineStr">
        <is>
          <t>Tallticka
Vanlig groda
Revlummer</t>
        </is>
      </c>
      <c r="S248">
        <f>HYPERLINK("https://klasma.github.io/Logging_1415/artfynd/A 11794-2025 artfynd.xlsx", "A 11794-2025")</f>
        <v/>
      </c>
      <c r="T248">
        <f>HYPERLINK("https://klasma.github.io/Logging_1415/kartor/A 11794-2025 karta.png", "A 11794-2025")</f>
        <v/>
      </c>
      <c r="V248">
        <f>HYPERLINK("https://klasma.github.io/Logging_1415/klagomål/A 11794-2025 FSC-klagomål.docx", "A 11794-2025")</f>
        <v/>
      </c>
      <c r="W248">
        <f>HYPERLINK("https://klasma.github.io/Logging_1415/klagomålsmail/A 11794-2025 FSC-klagomål mail.docx", "A 11794-2025")</f>
        <v/>
      </c>
      <c r="X248">
        <f>HYPERLINK("https://klasma.github.io/Logging_1415/tillsyn/A 11794-2025 tillsynsbegäran.docx", "A 11794-2025")</f>
        <v/>
      </c>
      <c r="Y248">
        <f>HYPERLINK("https://klasma.github.io/Logging_1415/tillsynsmail/A 11794-2025 tillsynsbegäran mail.docx", "A 11794-2025")</f>
        <v/>
      </c>
    </row>
    <row r="249" ht="15" customHeight="1">
      <c r="A249" t="inlineStr">
        <is>
          <t>A 9332-2025</t>
        </is>
      </c>
      <c r="B249" s="1" t="n">
        <v>45714.7971875</v>
      </c>
      <c r="C249" s="1" t="n">
        <v>46011</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37138-2021</t>
        </is>
      </c>
      <c r="B250" s="1" t="n">
        <v>44396</v>
      </c>
      <c r="C250" s="1" t="n">
        <v>46011</v>
      </c>
      <c r="D250" t="inlineStr">
        <is>
          <t>VÄSTRA GÖTALANDS LÄN</t>
        </is>
      </c>
      <c r="E250" t="inlineStr">
        <is>
          <t>GULLSPÅNG</t>
        </is>
      </c>
      <c r="G250" t="n">
        <v>4.3</v>
      </c>
      <c r="H250" t="n">
        <v>0</v>
      </c>
      <c r="I250" t="n">
        <v>0</v>
      </c>
      <c r="J250" t="n">
        <v>2</v>
      </c>
      <c r="K250" t="n">
        <v>0</v>
      </c>
      <c r="L250" t="n">
        <v>0</v>
      </c>
      <c r="M250" t="n">
        <v>0</v>
      </c>
      <c r="N250" t="n">
        <v>0</v>
      </c>
      <c r="O250" t="n">
        <v>2</v>
      </c>
      <c r="P250" t="n">
        <v>0</v>
      </c>
      <c r="Q250" t="n">
        <v>2</v>
      </c>
      <c r="R250" s="2" t="inlineStr">
        <is>
          <t>Grantaggsvamp
Persiljespindling</t>
        </is>
      </c>
      <c r="S250">
        <f>HYPERLINK("https://klasma.github.io/Logging_1447/artfynd/A 37138-2021 artfynd.xlsx", "A 37138-2021")</f>
        <v/>
      </c>
      <c r="T250">
        <f>HYPERLINK("https://klasma.github.io/Logging_1447/kartor/A 37138-2021 karta.png", "A 37138-2021")</f>
        <v/>
      </c>
      <c r="V250">
        <f>HYPERLINK("https://klasma.github.io/Logging_1447/klagomål/A 37138-2021 FSC-klagomål.docx", "A 37138-2021")</f>
        <v/>
      </c>
      <c r="W250">
        <f>HYPERLINK("https://klasma.github.io/Logging_1447/klagomålsmail/A 37138-2021 FSC-klagomål mail.docx", "A 37138-2021")</f>
        <v/>
      </c>
      <c r="X250">
        <f>HYPERLINK("https://klasma.github.io/Logging_1447/tillsyn/A 37138-2021 tillsynsbegäran.docx", "A 37138-2021")</f>
        <v/>
      </c>
      <c r="Y250">
        <f>HYPERLINK("https://klasma.github.io/Logging_1447/tillsynsmail/A 37138-2021 tillsynsbegäran mail.docx", "A 37138-2021")</f>
        <v/>
      </c>
    </row>
    <row r="251" ht="15" customHeight="1">
      <c r="A251" t="inlineStr">
        <is>
          <t>A 4424-2021</t>
        </is>
      </c>
      <c r="B251" s="1" t="n">
        <v>44224</v>
      </c>
      <c r="C251" s="1" t="n">
        <v>46011</v>
      </c>
      <c r="D251" t="inlineStr">
        <is>
          <t>VÄSTRA GÖTALANDS LÄN</t>
        </is>
      </c>
      <c r="E251" t="inlineStr">
        <is>
          <t>VÅRGÅRDA</t>
        </is>
      </c>
      <c r="F251" t="inlineStr">
        <is>
          <t>Kommuner</t>
        </is>
      </c>
      <c r="G251" t="n">
        <v>9.6</v>
      </c>
      <c r="H251" t="n">
        <v>2</v>
      </c>
      <c r="I251" t="n">
        <v>0</v>
      </c>
      <c r="J251" t="n">
        <v>0</v>
      </c>
      <c r="K251" t="n">
        <v>1</v>
      </c>
      <c r="L251" t="n">
        <v>0</v>
      </c>
      <c r="M251" t="n">
        <v>0</v>
      </c>
      <c r="N251" t="n">
        <v>0</v>
      </c>
      <c r="O251" t="n">
        <v>1</v>
      </c>
      <c r="P251" t="n">
        <v>1</v>
      </c>
      <c r="Q251" t="n">
        <v>2</v>
      </c>
      <c r="R251" s="2" t="inlineStr">
        <is>
          <t>Knärot
Revlummer</t>
        </is>
      </c>
      <c r="S251">
        <f>HYPERLINK("https://klasma.github.io/Logging_1442/artfynd/A 4424-2021 artfynd.xlsx", "A 4424-2021")</f>
        <v/>
      </c>
      <c r="T251">
        <f>HYPERLINK("https://klasma.github.io/Logging_1442/kartor/A 4424-2021 karta.png", "A 4424-2021")</f>
        <v/>
      </c>
      <c r="U251">
        <f>HYPERLINK("https://klasma.github.io/Logging_1442/knärot/A 4424-2021 karta knärot.png", "A 4424-2021")</f>
        <v/>
      </c>
      <c r="V251">
        <f>HYPERLINK("https://klasma.github.io/Logging_1442/klagomål/A 4424-2021 FSC-klagomål.docx", "A 4424-2021")</f>
        <v/>
      </c>
      <c r="W251">
        <f>HYPERLINK("https://klasma.github.io/Logging_1442/klagomålsmail/A 4424-2021 FSC-klagomål mail.docx", "A 4424-2021")</f>
        <v/>
      </c>
      <c r="X251">
        <f>HYPERLINK("https://klasma.github.io/Logging_1442/tillsyn/A 4424-2021 tillsynsbegäran.docx", "A 4424-2021")</f>
        <v/>
      </c>
      <c r="Y251">
        <f>HYPERLINK("https://klasma.github.io/Logging_1442/tillsynsmail/A 4424-2021 tillsynsbegäran mail.docx", "A 4424-2021")</f>
        <v/>
      </c>
    </row>
    <row r="252" ht="15" customHeight="1">
      <c r="A252" t="inlineStr">
        <is>
          <t>A 1582-2022</t>
        </is>
      </c>
      <c r="B252" s="1" t="n">
        <v>44573.654375</v>
      </c>
      <c r="C252" s="1" t="n">
        <v>46011</v>
      </c>
      <c r="D252" t="inlineStr">
        <is>
          <t>VÄSTRA GÖTALANDS LÄN</t>
        </is>
      </c>
      <c r="E252" t="inlineStr">
        <is>
          <t>BENGTSFORS</t>
        </is>
      </c>
      <c r="G252" t="n">
        <v>3</v>
      </c>
      <c r="H252" t="n">
        <v>2</v>
      </c>
      <c r="I252" t="n">
        <v>0</v>
      </c>
      <c r="J252" t="n">
        <v>0</v>
      </c>
      <c r="K252" t="n">
        <v>0</v>
      </c>
      <c r="L252" t="n">
        <v>0</v>
      </c>
      <c r="M252" t="n">
        <v>0</v>
      </c>
      <c r="N252" t="n">
        <v>0</v>
      </c>
      <c r="O252" t="n">
        <v>0</v>
      </c>
      <c r="P252" t="n">
        <v>0</v>
      </c>
      <c r="Q252" t="n">
        <v>2</v>
      </c>
      <c r="R252" s="2" t="inlineStr">
        <is>
          <t>Grönsiska
Kungsfågel</t>
        </is>
      </c>
      <c r="S252">
        <f>HYPERLINK("https://klasma.github.io/Logging_1460/artfynd/A 1582-2022 artfynd.xlsx", "A 1582-2022")</f>
        <v/>
      </c>
      <c r="T252">
        <f>HYPERLINK("https://klasma.github.io/Logging_1460/kartor/A 1582-2022 karta.png", "A 1582-2022")</f>
        <v/>
      </c>
      <c r="V252">
        <f>HYPERLINK("https://klasma.github.io/Logging_1460/klagomål/A 1582-2022 FSC-klagomål.docx", "A 1582-2022")</f>
        <v/>
      </c>
      <c r="W252">
        <f>HYPERLINK("https://klasma.github.io/Logging_1460/klagomålsmail/A 1582-2022 FSC-klagomål mail.docx", "A 1582-2022")</f>
        <v/>
      </c>
      <c r="X252">
        <f>HYPERLINK("https://klasma.github.io/Logging_1460/tillsyn/A 1582-2022 tillsynsbegäran.docx", "A 1582-2022")</f>
        <v/>
      </c>
      <c r="Y252">
        <f>HYPERLINK("https://klasma.github.io/Logging_1460/tillsynsmail/A 1582-2022 tillsynsbegäran mail.docx", "A 1582-2022")</f>
        <v/>
      </c>
      <c r="Z252">
        <f>HYPERLINK("https://klasma.github.io/Logging_1460/fåglar/A 1582-2022 prioriterade fågelarter.docx", "A 1582-2022")</f>
        <v/>
      </c>
    </row>
    <row r="253" ht="15" customHeight="1">
      <c r="A253" t="inlineStr">
        <is>
          <t>A 1901-2021</t>
        </is>
      </c>
      <c r="B253" s="1" t="n">
        <v>44210</v>
      </c>
      <c r="C253" s="1" t="n">
        <v>46011</v>
      </c>
      <c r="D253" t="inlineStr">
        <is>
          <t>VÄSTRA GÖTALANDS LÄN</t>
        </is>
      </c>
      <c r="E253" t="inlineStr">
        <is>
          <t>SVENLJUNGA</t>
        </is>
      </c>
      <c r="F253" t="inlineStr">
        <is>
          <t>Kyrkan</t>
        </is>
      </c>
      <c r="G253" t="n">
        <v>17.5</v>
      </c>
      <c r="H253" t="n">
        <v>0</v>
      </c>
      <c r="I253" t="n">
        <v>0</v>
      </c>
      <c r="J253" t="n">
        <v>0</v>
      </c>
      <c r="K253" t="n">
        <v>0</v>
      </c>
      <c r="L253" t="n">
        <v>1</v>
      </c>
      <c r="M253" t="n">
        <v>1</v>
      </c>
      <c r="N253" t="n">
        <v>0</v>
      </c>
      <c r="O253" t="n">
        <v>2</v>
      </c>
      <c r="P253" t="n">
        <v>2</v>
      </c>
      <c r="Q253" t="n">
        <v>2</v>
      </c>
      <c r="R253" s="2" t="inlineStr">
        <is>
          <t>Skogsalm
Ask</t>
        </is>
      </c>
      <c r="S253">
        <f>HYPERLINK("https://klasma.github.io/Logging_1465/artfynd/A 1901-2021 artfynd.xlsx", "A 1901-2021")</f>
        <v/>
      </c>
      <c r="T253">
        <f>HYPERLINK("https://klasma.github.io/Logging_1465/kartor/A 1901-2021 karta.png", "A 1901-2021")</f>
        <v/>
      </c>
      <c r="V253">
        <f>HYPERLINK("https://klasma.github.io/Logging_1465/klagomål/A 1901-2021 FSC-klagomål.docx", "A 1901-2021")</f>
        <v/>
      </c>
      <c r="W253">
        <f>HYPERLINK("https://klasma.github.io/Logging_1465/klagomålsmail/A 1901-2021 FSC-klagomål mail.docx", "A 1901-2021")</f>
        <v/>
      </c>
      <c r="X253">
        <f>HYPERLINK("https://klasma.github.io/Logging_1465/tillsyn/A 1901-2021 tillsynsbegäran.docx", "A 1901-2021")</f>
        <v/>
      </c>
      <c r="Y253">
        <f>HYPERLINK("https://klasma.github.io/Logging_1465/tillsynsmail/A 1901-2021 tillsynsbegäran mail.docx", "A 1901-2021")</f>
        <v/>
      </c>
    </row>
    <row r="254" ht="15" customHeight="1">
      <c r="A254" t="inlineStr">
        <is>
          <t>A 7652-2021</t>
        </is>
      </c>
      <c r="B254" s="1" t="n">
        <v>44242</v>
      </c>
      <c r="C254" s="1" t="n">
        <v>46011</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46011</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46011</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68546-2020</t>
        </is>
      </c>
      <c r="B257" s="1" t="n">
        <v>44186</v>
      </c>
      <c r="C257" s="1" t="n">
        <v>46011</v>
      </c>
      <c r="D257" t="inlineStr">
        <is>
          <t>VÄSTRA GÖTALANDS LÄN</t>
        </is>
      </c>
      <c r="E257" t="inlineStr">
        <is>
          <t>BENGTSFORS</t>
        </is>
      </c>
      <c r="G257" t="n">
        <v>3.3</v>
      </c>
      <c r="H257" t="n">
        <v>1</v>
      </c>
      <c r="I257" t="n">
        <v>0</v>
      </c>
      <c r="J257" t="n">
        <v>1</v>
      </c>
      <c r="K257" t="n">
        <v>0</v>
      </c>
      <c r="L257" t="n">
        <v>0</v>
      </c>
      <c r="M257" t="n">
        <v>0</v>
      </c>
      <c r="N257" t="n">
        <v>0</v>
      </c>
      <c r="O257" t="n">
        <v>1</v>
      </c>
      <c r="P257" t="n">
        <v>0</v>
      </c>
      <c r="Q257" t="n">
        <v>2</v>
      </c>
      <c r="R257" s="2" t="inlineStr">
        <is>
          <t>Skogsklocka
Grönvit nattviol</t>
        </is>
      </c>
      <c r="S257">
        <f>HYPERLINK("https://klasma.github.io/Logging_1460/artfynd/A 68546-2020 artfynd.xlsx", "A 68546-2020")</f>
        <v/>
      </c>
      <c r="T257">
        <f>HYPERLINK("https://klasma.github.io/Logging_1460/kartor/A 68546-2020 karta.png", "A 68546-2020")</f>
        <v/>
      </c>
      <c r="V257">
        <f>HYPERLINK("https://klasma.github.io/Logging_1460/klagomål/A 68546-2020 FSC-klagomål.docx", "A 68546-2020")</f>
        <v/>
      </c>
      <c r="W257">
        <f>HYPERLINK("https://klasma.github.io/Logging_1460/klagomålsmail/A 68546-2020 FSC-klagomål mail.docx", "A 68546-2020")</f>
        <v/>
      </c>
      <c r="X257">
        <f>HYPERLINK("https://klasma.github.io/Logging_1460/tillsyn/A 68546-2020 tillsynsbegäran.docx", "A 68546-2020")</f>
        <v/>
      </c>
      <c r="Y257">
        <f>HYPERLINK("https://klasma.github.io/Logging_1460/tillsynsmail/A 68546-2020 tillsynsbegäran mail.docx", "A 68546-2020")</f>
        <v/>
      </c>
    </row>
    <row r="258" ht="15" customHeight="1">
      <c r="A258" t="inlineStr">
        <is>
          <t>A 24680-2021</t>
        </is>
      </c>
      <c r="B258" s="1" t="n">
        <v>44340</v>
      </c>
      <c r="C258" s="1" t="n">
        <v>46011</v>
      </c>
      <c r="D258" t="inlineStr">
        <is>
          <t>VÄSTRA GÖTALANDS LÄN</t>
        </is>
      </c>
      <c r="E258" t="inlineStr">
        <is>
          <t>MUNKEDAL</t>
        </is>
      </c>
      <c r="G258" t="n">
        <v>1.1</v>
      </c>
      <c r="H258" t="n">
        <v>2</v>
      </c>
      <c r="I258" t="n">
        <v>0</v>
      </c>
      <c r="J258" t="n">
        <v>0</v>
      </c>
      <c r="K258" t="n">
        <v>0</v>
      </c>
      <c r="L258" t="n">
        <v>0</v>
      </c>
      <c r="M258" t="n">
        <v>0</v>
      </c>
      <c r="N258" t="n">
        <v>0</v>
      </c>
      <c r="O258" t="n">
        <v>0</v>
      </c>
      <c r="P258" t="n">
        <v>0</v>
      </c>
      <c r="Q258" t="n">
        <v>2</v>
      </c>
      <c r="R258" s="2" t="inlineStr">
        <is>
          <t>Mattlummer
Revlummer</t>
        </is>
      </c>
      <c r="S258">
        <f>HYPERLINK("https://klasma.github.io/Logging_1430/artfynd/A 24680-2021 artfynd.xlsx", "A 24680-2021")</f>
        <v/>
      </c>
      <c r="T258">
        <f>HYPERLINK("https://klasma.github.io/Logging_1430/kartor/A 24680-2021 karta.png", "A 24680-2021")</f>
        <v/>
      </c>
      <c r="V258">
        <f>HYPERLINK("https://klasma.github.io/Logging_1430/klagomål/A 24680-2021 FSC-klagomål.docx", "A 24680-2021")</f>
        <v/>
      </c>
      <c r="W258">
        <f>HYPERLINK("https://klasma.github.io/Logging_1430/klagomålsmail/A 24680-2021 FSC-klagomål mail.docx", "A 24680-2021")</f>
        <v/>
      </c>
      <c r="X258">
        <f>HYPERLINK("https://klasma.github.io/Logging_1430/tillsyn/A 24680-2021 tillsynsbegäran.docx", "A 24680-2021")</f>
        <v/>
      </c>
      <c r="Y258">
        <f>HYPERLINK("https://klasma.github.io/Logging_1430/tillsynsmail/A 24680-2021 tillsynsbegäran mail.docx", "A 24680-2021")</f>
        <v/>
      </c>
    </row>
    <row r="259" ht="15" customHeight="1">
      <c r="A259" t="inlineStr">
        <is>
          <t>A 29220-2022</t>
        </is>
      </c>
      <c r="B259" s="1" t="n">
        <v>44750</v>
      </c>
      <c r="C259" s="1" t="n">
        <v>46011</v>
      </c>
      <c r="D259" t="inlineStr">
        <is>
          <t>VÄSTRA GÖTALANDS LÄN</t>
        </is>
      </c>
      <c r="E259" t="inlineStr">
        <is>
          <t>BENGTSFORS</t>
        </is>
      </c>
      <c r="G259" t="n">
        <v>6.6</v>
      </c>
      <c r="H259" t="n">
        <v>1</v>
      </c>
      <c r="I259" t="n">
        <v>0</v>
      </c>
      <c r="J259" t="n">
        <v>1</v>
      </c>
      <c r="K259" t="n">
        <v>0</v>
      </c>
      <c r="L259" t="n">
        <v>0</v>
      </c>
      <c r="M259" t="n">
        <v>0</v>
      </c>
      <c r="N259" t="n">
        <v>0</v>
      </c>
      <c r="O259" t="n">
        <v>1</v>
      </c>
      <c r="P259" t="n">
        <v>0</v>
      </c>
      <c r="Q259" t="n">
        <v>2</v>
      </c>
      <c r="R259" s="2" t="inlineStr">
        <is>
          <t>Vedtrappmossa
Vanlig padda</t>
        </is>
      </c>
      <c r="S259">
        <f>HYPERLINK("https://klasma.github.io/Logging_1460/artfynd/A 29220-2022 artfynd.xlsx", "A 29220-2022")</f>
        <v/>
      </c>
      <c r="T259">
        <f>HYPERLINK("https://klasma.github.io/Logging_1460/kartor/A 29220-2022 karta.png", "A 29220-2022")</f>
        <v/>
      </c>
      <c r="V259">
        <f>HYPERLINK("https://klasma.github.io/Logging_1460/klagomål/A 29220-2022 FSC-klagomål.docx", "A 29220-2022")</f>
        <v/>
      </c>
      <c r="W259">
        <f>HYPERLINK("https://klasma.github.io/Logging_1460/klagomålsmail/A 29220-2022 FSC-klagomål mail.docx", "A 29220-2022")</f>
        <v/>
      </c>
      <c r="X259">
        <f>HYPERLINK("https://klasma.github.io/Logging_1460/tillsyn/A 29220-2022 tillsynsbegäran.docx", "A 29220-2022")</f>
        <v/>
      </c>
      <c r="Y259">
        <f>HYPERLINK("https://klasma.github.io/Logging_1460/tillsynsmail/A 29220-2022 tillsynsbegäran mail.docx", "A 29220-2022")</f>
        <v/>
      </c>
    </row>
    <row r="260" ht="15" customHeight="1">
      <c r="A260" t="inlineStr">
        <is>
          <t>A 2185-2022</t>
        </is>
      </c>
      <c r="B260" s="1" t="n">
        <v>44578</v>
      </c>
      <c r="C260" s="1" t="n">
        <v>46011</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39323-2022</t>
        </is>
      </c>
      <c r="B261" s="1" t="n">
        <v>44817.71167824074</v>
      </c>
      <c r="C261" s="1" t="n">
        <v>46011</v>
      </c>
      <c r="D261" t="inlineStr">
        <is>
          <t>VÄSTRA GÖTALANDS LÄN</t>
        </is>
      </c>
      <c r="E261" t="inlineStr">
        <is>
          <t>BORÅS</t>
        </is>
      </c>
      <c r="G261" t="n">
        <v>8.1</v>
      </c>
      <c r="H261" t="n">
        <v>2</v>
      </c>
      <c r="I261" t="n">
        <v>0</v>
      </c>
      <c r="J261" t="n">
        <v>0</v>
      </c>
      <c r="K261" t="n">
        <v>0</v>
      </c>
      <c r="L261" t="n">
        <v>0</v>
      </c>
      <c r="M261" t="n">
        <v>0</v>
      </c>
      <c r="N261" t="n">
        <v>0</v>
      </c>
      <c r="O261" t="n">
        <v>0</v>
      </c>
      <c r="P261" t="n">
        <v>0</v>
      </c>
      <c r="Q261" t="n">
        <v>2</v>
      </c>
      <c r="R261" s="2" t="inlineStr">
        <is>
          <t>Järnsparv
Tjäder</t>
        </is>
      </c>
      <c r="S261">
        <f>HYPERLINK("https://klasma.github.io/Logging_1490/artfynd/A 39323-2022 artfynd.xlsx", "A 39323-2022")</f>
        <v/>
      </c>
      <c r="T261">
        <f>HYPERLINK("https://klasma.github.io/Logging_1490/kartor/A 39323-2022 karta.png", "A 39323-2022")</f>
        <v/>
      </c>
      <c r="V261">
        <f>HYPERLINK("https://klasma.github.io/Logging_1490/klagomål/A 39323-2022 FSC-klagomål.docx", "A 39323-2022")</f>
        <v/>
      </c>
      <c r="W261">
        <f>HYPERLINK("https://klasma.github.io/Logging_1490/klagomålsmail/A 39323-2022 FSC-klagomål mail.docx", "A 39323-2022")</f>
        <v/>
      </c>
      <c r="X261">
        <f>HYPERLINK("https://klasma.github.io/Logging_1490/tillsyn/A 39323-2022 tillsynsbegäran.docx", "A 39323-2022")</f>
        <v/>
      </c>
      <c r="Y261">
        <f>HYPERLINK("https://klasma.github.io/Logging_1490/tillsynsmail/A 39323-2022 tillsynsbegäran mail.docx", "A 39323-2022")</f>
        <v/>
      </c>
      <c r="Z261">
        <f>HYPERLINK("https://klasma.github.io/Logging_1490/fåglar/A 39323-2022 prioriterade fågelarter.docx", "A 39323-2022")</f>
        <v/>
      </c>
    </row>
    <row r="262" ht="15" customHeight="1">
      <c r="A262" t="inlineStr">
        <is>
          <t>A 40067-2021</t>
        </is>
      </c>
      <c r="B262" s="1" t="n">
        <v>44418</v>
      </c>
      <c r="C262" s="1" t="n">
        <v>46011</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57572-2021</t>
        </is>
      </c>
      <c r="B263" s="1" t="n">
        <v>44482</v>
      </c>
      <c r="C263" s="1" t="n">
        <v>46011</v>
      </c>
      <c r="D263" t="inlineStr">
        <is>
          <t>VÄSTRA GÖTALANDS LÄN</t>
        </is>
      </c>
      <c r="E263" t="inlineStr">
        <is>
          <t>MARK</t>
        </is>
      </c>
      <c r="G263" t="n">
        <v>8</v>
      </c>
      <c r="H263" t="n">
        <v>1</v>
      </c>
      <c r="I263" t="n">
        <v>0</v>
      </c>
      <c r="J263" t="n">
        <v>1</v>
      </c>
      <c r="K263" t="n">
        <v>1</v>
      </c>
      <c r="L263" t="n">
        <v>0</v>
      </c>
      <c r="M263" t="n">
        <v>0</v>
      </c>
      <c r="N263" t="n">
        <v>0</v>
      </c>
      <c r="O263" t="n">
        <v>2</v>
      </c>
      <c r="P263" t="n">
        <v>1</v>
      </c>
      <c r="Q263" t="n">
        <v>2</v>
      </c>
      <c r="R263" s="2" t="inlineStr">
        <is>
          <t>Knärot
Sexfläckig bastardsvärmare</t>
        </is>
      </c>
      <c r="S263">
        <f>HYPERLINK("https://klasma.github.io/Logging_1463/artfynd/A 57572-2021 artfynd.xlsx", "A 57572-2021")</f>
        <v/>
      </c>
      <c r="T263">
        <f>HYPERLINK("https://klasma.github.io/Logging_1463/kartor/A 57572-2021 karta.png", "A 57572-2021")</f>
        <v/>
      </c>
      <c r="U263">
        <f>HYPERLINK("https://klasma.github.io/Logging_1463/knärot/A 57572-2021 karta knärot.png", "A 57572-2021")</f>
        <v/>
      </c>
      <c r="V263">
        <f>HYPERLINK("https://klasma.github.io/Logging_1463/klagomål/A 57572-2021 FSC-klagomål.docx", "A 57572-2021")</f>
        <v/>
      </c>
      <c r="W263">
        <f>HYPERLINK("https://klasma.github.io/Logging_1463/klagomålsmail/A 57572-2021 FSC-klagomål mail.docx", "A 57572-2021")</f>
        <v/>
      </c>
      <c r="X263">
        <f>HYPERLINK("https://klasma.github.io/Logging_1463/tillsyn/A 57572-2021 tillsynsbegäran.docx", "A 57572-2021")</f>
        <v/>
      </c>
      <c r="Y263">
        <f>HYPERLINK("https://klasma.github.io/Logging_1463/tillsynsmail/A 57572-2021 tillsynsbegäran mail.docx", "A 57572-2021")</f>
        <v/>
      </c>
    </row>
    <row r="264" ht="15" customHeight="1">
      <c r="A264" t="inlineStr">
        <is>
          <t>A 21759-2021</t>
        </is>
      </c>
      <c r="B264" s="1" t="n">
        <v>44322</v>
      </c>
      <c r="C264" s="1" t="n">
        <v>46011</v>
      </c>
      <c r="D264" t="inlineStr">
        <is>
          <t>VÄSTRA GÖTALANDS LÄN</t>
        </is>
      </c>
      <c r="E264" t="inlineStr">
        <is>
          <t>MÖLNDAL</t>
        </is>
      </c>
      <c r="F264" t="inlineStr">
        <is>
          <t>Kommuner</t>
        </is>
      </c>
      <c r="G264" t="n">
        <v>3.9</v>
      </c>
      <c r="H264" t="n">
        <v>0</v>
      </c>
      <c r="I264" t="n">
        <v>2</v>
      </c>
      <c r="J264" t="n">
        <v>0</v>
      </c>
      <c r="K264" t="n">
        <v>0</v>
      </c>
      <c r="L264" t="n">
        <v>0</v>
      </c>
      <c r="M264" t="n">
        <v>0</v>
      </c>
      <c r="N264" t="n">
        <v>0</v>
      </c>
      <c r="O264" t="n">
        <v>0</v>
      </c>
      <c r="P264" t="n">
        <v>0</v>
      </c>
      <c r="Q264" t="n">
        <v>2</v>
      </c>
      <c r="R264" s="2" t="inlineStr">
        <is>
          <t>Stubbspretmossa
Västlig hakmossa</t>
        </is>
      </c>
      <c r="S264">
        <f>HYPERLINK("https://klasma.github.io/Logging_1481/artfynd/A 21759-2021 artfynd.xlsx", "A 21759-2021")</f>
        <v/>
      </c>
      <c r="T264">
        <f>HYPERLINK("https://klasma.github.io/Logging_1481/kartor/A 21759-2021 karta.png", "A 21759-2021")</f>
        <v/>
      </c>
      <c r="V264">
        <f>HYPERLINK("https://klasma.github.io/Logging_1481/klagomål/A 21759-2021 FSC-klagomål.docx", "A 21759-2021")</f>
        <v/>
      </c>
      <c r="W264">
        <f>HYPERLINK("https://klasma.github.io/Logging_1481/klagomålsmail/A 21759-2021 FSC-klagomål mail.docx", "A 21759-2021")</f>
        <v/>
      </c>
      <c r="X264">
        <f>HYPERLINK("https://klasma.github.io/Logging_1481/tillsyn/A 21759-2021 tillsynsbegäran.docx", "A 21759-2021")</f>
        <v/>
      </c>
      <c r="Y264">
        <f>HYPERLINK("https://klasma.github.io/Logging_1481/tillsynsmail/A 21759-2021 tillsynsbegäran mail.docx", "A 21759-2021")</f>
        <v/>
      </c>
    </row>
    <row r="265" ht="15" customHeight="1">
      <c r="A265" t="inlineStr">
        <is>
          <t>A 13274-2022</t>
        </is>
      </c>
      <c r="B265" s="1" t="n">
        <v>44644</v>
      </c>
      <c r="C265" s="1" t="n">
        <v>46011</v>
      </c>
      <c r="D265" t="inlineStr">
        <is>
          <t>VÄSTRA GÖTALANDS LÄN</t>
        </is>
      </c>
      <c r="E265" t="inlineStr">
        <is>
          <t>TANUM</t>
        </is>
      </c>
      <c r="G265" t="n">
        <v>4</v>
      </c>
      <c r="H265" t="n">
        <v>2</v>
      </c>
      <c r="I265" t="n">
        <v>0</v>
      </c>
      <c r="J265" t="n">
        <v>0</v>
      </c>
      <c r="K265" t="n">
        <v>0</v>
      </c>
      <c r="L265" t="n">
        <v>0</v>
      </c>
      <c r="M265" t="n">
        <v>0</v>
      </c>
      <c r="N265" t="n">
        <v>0</v>
      </c>
      <c r="O265" t="n">
        <v>0</v>
      </c>
      <c r="P265" t="n">
        <v>0</v>
      </c>
      <c r="Q265" t="n">
        <v>2</v>
      </c>
      <c r="R265" s="2" t="inlineStr">
        <is>
          <t>Mattlummer
Revlummer</t>
        </is>
      </c>
      <c r="S265">
        <f>HYPERLINK("https://klasma.github.io/Logging_1435/artfynd/A 13274-2022 artfynd.xlsx", "A 13274-2022")</f>
        <v/>
      </c>
      <c r="T265">
        <f>HYPERLINK("https://klasma.github.io/Logging_1435/kartor/A 13274-2022 karta.png", "A 13274-2022")</f>
        <v/>
      </c>
      <c r="V265">
        <f>HYPERLINK("https://klasma.github.io/Logging_1435/klagomål/A 13274-2022 FSC-klagomål.docx", "A 13274-2022")</f>
        <v/>
      </c>
      <c r="W265">
        <f>HYPERLINK("https://klasma.github.io/Logging_1435/klagomålsmail/A 13274-2022 FSC-klagomål mail.docx", "A 13274-2022")</f>
        <v/>
      </c>
      <c r="X265">
        <f>HYPERLINK("https://klasma.github.io/Logging_1435/tillsyn/A 13274-2022 tillsynsbegäran.docx", "A 13274-2022")</f>
        <v/>
      </c>
      <c r="Y265">
        <f>HYPERLINK("https://klasma.github.io/Logging_1435/tillsynsmail/A 13274-2022 tillsynsbegäran mail.docx", "A 13274-2022")</f>
        <v/>
      </c>
    </row>
    <row r="266" ht="15" customHeight="1">
      <c r="A266" t="inlineStr">
        <is>
          <t>A 11984-2021</t>
        </is>
      </c>
      <c r="B266" s="1" t="n">
        <v>44266</v>
      </c>
      <c r="C266" s="1" t="n">
        <v>46011</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47429-2021</t>
        </is>
      </c>
      <c r="B267" s="1" t="n">
        <v>44447</v>
      </c>
      <c r="C267" s="1" t="n">
        <v>46011</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Svart trolldruva
Tibast</t>
        </is>
      </c>
      <c r="S267">
        <f>HYPERLINK("https://klasma.github.io/Logging_1496/artfynd/A 47429-2021 artfynd.xlsx", "A 47429-2021")</f>
        <v/>
      </c>
      <c r="T267">
        <f>HYPERLINK("https://klasma.github.io/Logging_1496/kartor/A 47429-2021 karta.png", "A 47429-2021")</f>
        <v/>
      </c>
      <c r="V267">
        <f>HYPERLINK("https://klasma.github.io/Logging_1496/klagomål/A 47429-2021 FSC-klagomål.docx", "A 47429-2021")</f>
        <v/>
      </c>
      <c r="W267">
        <f>HYPERLINK("https://klasma.github.io/Logging_1496/klagomålsmail/A 47429-2021 FSC-klagomål mail.docx", "A 47429-2021")</f>
        <v/>
      </c>
      <c r="X267">
        <f>HYPERLINK("https://klasma.github.io/Logging_1496/tillsyn/A 47429-2021 tillsynsbegäran.docx", "A 47429-2021")</f>
        <v/>
      </c>
      <c r="Y267">
        <f>HYPERLINK("https://klasma.github.io/Logging_1496/tillsynsmail/A 47429-2021 tillsynsbegäran mail.docx", "A 47429-2021")</f>
        <v/>
      </c>
    </row>
    <row r="268" ht="15" customHeight="1">
      <c r="A268" t="inlineStr">
        <is>
          <t>A 32280-2022</t>
        </is>
      </c>
      <c r="B268" s="1" t="n">
        <v>44781</v>
      </c>
      <c r="C268" s="1" t="n">
        <v>46011</v>
      </c>
      <c r="D268" t="inlineStr">
        <is>
          <t>VÄSTRA GÖTALANDS LÄN</t>
        </is>
      </c>
      <c r="E268" t="inlineStr">
        <is>
          <t>LIDKÖPING</t>
        </is>
      </c>
      <c r="G268" t="n">
        <v>8.6</v>
      </c>
      <c r="H268" t="n">
        <v>1</v>
      </c>
      <c r="I268" t="n">
        <v>1</v>
      </c>
      <c r="J268" t="n">
        <v>1</v>
      </c>
      <c r="K268" t="n">
        <v>0</v>
      </c>
      <c r="L268" t="n">
        <v>0</v>
      </c>
      <c r="M268" t="n">
        <v>0</v>
      </c>
      <c r="N268" t="n">
        <v>0</v>
      </c>
      <c r="O268" t="n">
        <v>1</v>
      </c>
      <c r="P268" t="n">
        <v>0</v>
      </c>
      <c r="Q268" t="n">
        <v>2</v>
      </c>
      <c r="R268" s="2" t="inlineStr">
        <is>
          <t>Gulsparv
Sotriska</t>
        </is>
      </c>
      <c r="S268">
        <f>HYPERLINK("https://klasma.github.io/Logging_1494/artfynd/A 32280-2022 artfynd.xlsx", "A 32280-2022")</f>
        <v/>
      </c>
      <c r="T268">
        <f>HYPERLINK("https://klasma.github.io/Logging_1494/kartor/A 32280-2022 karta.png", "A 32280-2022")</f>
        <v/>
      </c>
      <c r="V268">
        <f>HYPERLINK("https://klasma.github.io/Logging_1494/klagomål/A 32280-2022 FSC-klagomål.docx", "A 32280-2022")</f>
        <v/>
      </c>
      <c r="W268">
        <f>HYPERLINK("https://klasma.github.io/Logging_1494/klagomålsmail/A 32280-2022 FSC-klagomål mail.docx", "A 32280-2022")</f>
        <v/>
      </c>
      <c r="X268">
        <f>HYPERLINK("https://klasma.github.io/Logging_1494/tillsyn/A 32280-2022 tillsynsbegäran.docx", "A 32280-2022")</f>
        <v/>
      </c>
      <c r="Y268">
        <f>HYPERLINK("https://klasma.github.io/Logging_1494/tillsynsmail/A 32280-2022 tillsynsbegäran mail.docx", "A 32280-2022")</f>
        <v/>
      </c>
      <c r="Z268">
        <f>HYPERLINK("https://klasma.github.io/Logging_1494/fåglar/A 32280-2022 prioriterade fågelarter.docx", "A 32280-2022")</f>
        <v/>
      </c>
    </row>
    <row r="269" ht="15" customHeight="1">
      <c r="A269" t="inlineStr">
        <is>
          <t>A 14042-2023</t>
        </is>
      </c>
      <c r="B269" s="1" t="n">
        <v>45008</v>
      </c>
      <c r="C269" s="1" t="n">
        <v>46011</v>
      </c>
      <c r="D269" t="inlineStr">
        <is>
          <t>VÄSTRA GÖTALANDS LÄN</t>
        </is>
      </c>
      <c r="E269" t="inlineStr">
        <is>
          <t>PARTILLE</t>
        </is>
      </c>
      <c r="F269" t="inlineStr">
        <is>
          <t>Kommuner</t>
        </is>
      </c>
      <c r="G269" t="n">
        <v>4.1</v>
      </c>
      <c r="H269" t="n">
        <v>2</v>
      </c>
      <c r="I269" t="n">
        <v>0</v>
      </c>
      <c r="J269" t="n">
        <v>0</v>
      </c>
      <c r="K269" t="n">
        <v>0</v>
      </c>
      <c r="L269" t="n">
        <v>0</v>
      </c>
      <c r="M269" t="n">
        <v>0</v>
      </c>
      <c r="N269" t="n">
        <v>0</v>
      </c>
      <c r="O269" t="n">
        <v>0</v>
      </c>
      <c r="P269" t="n">
        <v>0</v>
      </c>
      <c r="Q269" t="n">
        <v>2</v>
      </c>
      <c r="R269" s="2" t="inlineStr">
        <is>
          <t>Revlummer
Äkta lopplummer</t>
        </is>
      </c>
      <c r="S269">
        <f>HYPERLINK("https://klasma.github.io/Logging_1402/artfynd/A 14042-2023 artfynd.xlsx", "A 14042-2023")</f>
        <v/>
      </c>
      <c r="T269">
        <f>HYPERLINK("https://klasma.github.io/Logging_1402/kartor/A 14042-2023 karta.png", "A 14042-2023")</f>
        <v/>
      </c>
      <c r="V269">
        <f>HYPERLINK("https://klasma.github.io/Logging_1402/klagomål/A 14042-2023 FSC-klagomål.docx", "A 14042-2023")</f>
        <v/>
      </c>
      <c r="W269">
        <f>HYPERLINK("https://klasma.github.io/Logging_1402/klagomålsmail/A 14042-2023 FSC-klagomål mail.docx", "A 14042-2023")</f>
        <v/>
      </c>
      <c r="X269">
        <f>HYPERLINK("https://klasma.github.io/Logging_1402/tillsyn/A 14042-2023 tillsynsbegäran.docx", "A 14042-2023")</f>
        <v/>
      </c>
      <c r="Y269">
        <f>HYPERLINK("https://klasma.github.io/Logging_1402/tillsynsmail/A 14042-2023 tillsynsbegäran mail.docx", "A 14042-2023")</f>
        <v/>
      </c>
    </row>
    <row r="270" ht="15" customHeight="1">
      <c r="A270" t="inlineStr">
        <is>
          <t>A 14728-2024</t>
        </is>
      </c>
      <c r="B270" s="1" t="n">
        <v>45397.58005787037</v>
      </c>
      <c r="C270" s="1" t="n">
        <v>46011</v>
      </c>
      <c r="D270" t="inlineStr">
        <is>
          <t>VÄSTRA GÖTALANDS LÄN</t>
        </is>
      </c>
      <c r="E270" t="inlineStr">
        <is>
          <t>TRANEMO</t>
        </is>
      </c>
      <c r="G270" t="n">
        <v>4</v>
      </c>
      <c r="H270" t="n">
        <v>1</v>
      </c>
      <c r="I270" t="n">
        <v>1</v>
      </c>
      <c r="J270" t="n">
        <v>1</v>
      </c>
      <c r="K270" t="n">
        <v>0</v>
      </c>
      <c r="L270" t="n">
        <v>0</v>
      </c>
      <c r="M270" t="n">
        <v>0</v>
      </c>
      <c r="N270" t="n">
        <v>0</v>
      </c>
      <c r="O270" t="n">
        <v>1</v>
      </c>
      <c r="P270" t="n">
        <v>0</v>
      </c>
      <c r="Q270" t="n">
        <v>2</v>
      </c>
      <c r="R270" s="2" t="inlineStr">
        <is>
          <t>Talltita
Kornknutmossa</t>
        </is>
      </c>
      <c r="S270">
        <f>HYPERLINK("https://klasma.github.io/Logging_1452/artfynd/A 14728-2024 artfynd.xlsx", "A 14728-2024")</f>
        <v/>
      </c>
      <c r="T270">
        <f>HYPERLINK("https://klasma.github.io/Logging_1452/kartor/A 14728-2024 karta.png", "A 14728-2024")</f>
        <v/>
      </c>
      <c r="V270">
        <f>HYPERLINK("https://klasma.github.io/Logging_1452/klagomål/A 14728-2024 FSC-klagomål.docx", "A 14728-2024")</f>
        <v/>
      </c>
      <c r="W270">
        <f>HYPERLINK("https://klasma.github.io/Logging_1452/klagomålsmail/A 14728-2024 FSC-klagomål mail.docx", "A 14728-2024")</f>
        <v/>
      </c>
      <c r="X270">
        <f>HYPERLINK("https://klasma.github.io/Logging_1452/tillsyn/A 14728-2024 tillsynsbegäran.docx", "A 14728-2024")</f>
        <v/>
      </c>
      <c r="Y270">
        <f>HYPERLINK("https://klasma.github.io/Logging_1452/tillsynsmail/A 14728-2024 tillsynsbegäran mail.docx", "A 14728-2024")</f>
        <v/>
      </c>
      <c r="Z270">
        <f>HYPERLINK("https://klasma.github.io/Logging_1452/fåglar/A 14728-2024 prioriterade fågelarter.docx", "A 14728-2024")</f>
        <v/>
      </c>
    </row>
    <row r="271" ht="15" customHeight="1">
      <c r="A271" t="inlineStr">
        <is>
          <t>A 16863-2025</t>
        </is>
      </c>
      <c r="B271" s="1" t="n">
        <v>45754.82484953704</v>
      </c>
      <c r="C271" s="1" t="n">
        <v>46011</v>
      </c>
      <c r="D271" t="inlineStr">
        <is>
          <t>VÄSTRA GÖTALANDS LÄN</t>
        </is>
      </c>
      <c r="E271" t="inlineStr">
        <is>
          <t>UDDEVALLA</t>
        </is>
      </c>
      <c r="G271" t="n">
        <v>15.3</v>
      </c>
      <c r="H271" t="n">
        <v>1</v>
      </c>
      <c r="I271" t="n">
        <v>1</v>
      </c>
      <c r="J271" t="n">
        <v>0</v>
      </c>
      <c r="K271" t="n">
        <v>0</v>
      </c>
      <c r="L271" t="n">
        <v>0</v>
      </c>
      <c r="M271" t="n">
        <v>0</v>
      </c>
      <c r="N271" t="n">
        <v>0</v>
      </c>
      <c r="O271" t="n">
        <v>0</v>
      </c>
      <c r="P271" t="n">
        <v>0</v>
      </c>
      <c r="Q271" t="n">
        <v>2</v>
      </c>
      <c r="R271" s="2" t="inlineStr">
        <is>
          <t>Kambräken
Kopparödla</t>
        </is>
      </c>
      <c r="S271">
        <f>HYPERLINK("https://klasma.github.io/Logging_1485/artfynd/A 16863-2025 artfynd.xlsx", "A 16863-2025")</f>
        <v/>
      </c>
      <c r="T271">
        <f>HYPERLINK("https://klasma.github.io/Logging_1485/kartor/A 16863-2025 karta.png", "A 16863-2025")</f>
        <v/>
      </c>
      <c r="V271">
        <f>HYPERLINK("https://klasma.github.io/Logging_1485/klagomål/A 16863-2025 FSC-klagomål.docx", "A 16863-2025")</f>
        <v/>
      </c>
      <c r="W271">
        <f>HYPERLINK("https://klasma.github.io/Logging_1485/klagomålsmail/A 16863-2025 FSC-klagomål mail.docx", "A 16863-2025")</f>
        <v/>
      </c>
      <c r="X271">
        <f>HYPERLINK("https://klasma.github.io/Logging_1485/tillsyn/A 16863-2025 tillsynsbegäran.docx", "A 16863-2025")</f>
        <v/>
      </c>
      <c r="Y271">
        <f>HYPERLINK("https://klasma.github.io/Logging_1485/tillsynsmail/A 16863-2025 tillsynsbegäran mail.docx", "A 16863-2025")</f>
        <v/>
      </c>
    </row>
    <row r="272" ht="15" customHeight="1">
      <c r="A272" t="inlineStr">
        <is>
          <t>A 13365-2024</t>
        </is>
      </c>
      <c r="B272" s="1" t="n">
        <v>45387.36229166666</v>
      </c>
      <c r="C272" s="1" t="n">
        <v>46011</v>
      </c>
      <c r="D272" t="inlineStr">
        <is>
          <t>VÄSTRA GÖTALANDS LÄN</t>
        </is>
      </c>
      <c r="E272" t="inlineStr">
        <is>
          <t>KARLSBORG</t>
        </is>
      </c>
      <c r="F272" t="inlineStr">
        <is>
          <t>Övriga Aktiebolag</t>
        </is>
      </c>
      <c r="G272" t="n">
        <v>2.5</v>
      </c>
      <c r="H272" t="n">
        <v>1</v>
      </c>
      <c r="I272" t="n">
        <v>1</v>
      </c>
      <c r="J272" t="n">
        <v>0</v>
      </c>
      <c r="K272" t="n">
        <v>0</v>
      </c>
      <c r="L272" t="n">
        <v>0</v>
      </c>
      <c r="M272" t="n">
        <v>0</v>
      </c>
      <c r="N272" t="n">
        <v>0</v>
      </c>
      <c r="O272" t="n">
        <v>0</v>
      </c>
      <c r="P272" t="n">
        <v>0</v>
      </c>
      <c r="Q272" t="n">
        <v>2</v>
      </c>
      <c r="R272" s="2" t="inlineStr">
        <is>
          <t>Grönpyrola
Tjäder</t>
        </is>
      </c>
      <c r="S272">
        <f>HYPERLINK("https://klasma.github.io/Logging_1446/artfynd/A 13365-2024 artfynd.xlsx", "A 13365-2024")</f>
        <v/>
      </c>
      <c r="T272">
        <f>HYPERLINK("https://klasma.github.io/Logging_1446/kartor/A 13365-2024 karta.png", "A 13365-2024")</f>
        <v/>
      </c>
      <c r="V272">
        <f>HYPERLINK("https://klasma.github.io/Logging_1446/klagomål/A 13365-2024 FSC-klagomål.docx", "A 13365-2024")</f>
        <v/>
      </c>
      <c r="W272">
        <f>HYPERLINK("https://klasma.github.io/Logging_1446/klagomålsmail/A 13365-2024 FSC-klagomål mail.docx", "A 13365-2024")</f>
        <v/>
      </c>
      <c r="X272">
        <f>HYPERLINK("https://klasma.github.io/Logging_1446/tillsyn/A 13365-2024 tillsynsbegäran.docx", "A 13365-2024")</f>
        <v/>
      </c>
      <c r="Y272">
        <f>HYPERLINK("https://klasma.github.io/Logging_1446/tillsynsmail/A 13365-2024 tillsynsbegäran mail.docx", "A 13365-2024")</f>
        <v/>
      </c>
      <c r="Z272">
        <f>HYPERLINK("https://klasma.github.io/Logging_1446/fåglar/A 13365-2024 prioriterade fågelarter.docx", "A 13365-2024")</f>
        <v/>
      </c>
    </row>
    <row r="273" ht="15" customHeight="1">
      <c r="A273" t="inlineStr">
        <is>
          <t>A 33448-2021</t>
        </is>
      </c>
      <c r="B273" s="1" t="n">
        <v>44377</v>
      </c>
      <c r="C273" s="1" t="n">
        <v>46011</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58954-2022</t>
        </is>
      </c>
      <c r="B274" s="1" t="n">
        <v>44903</v>
      </c>
      <c r="C274" s="1" t="n">
        <v>46011</v>
      </c>
      <c r="D274" t="inlineStr">
        <is>
          <t>VÄSTRA GÖTALANDS LÄN</t>
        </is>
      </c>
      <c r="E274" t="inlineStr">
        <is>
          <t>ALE</t>
        </is>
      </c>
      <c r="G274" t="n">
        <v>2.3</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HYPERLINK("https://klasma.github.io/Logging_1440/artfynd/A 58954-2022 artfynd.xlsx", "A 58954-2022")</f>
        <v/>
      </c>
      <c r="T274">
        <f>HYPERLINK("https://klasma.github.io/Logging_1440/kartor/A 58954-2022 karta.png", "A 58954-2022")</f>
        <v/>
      </c>
      <c r="V274">
        <f>HYPERLINK("https://klasma.github.io/Logging_1440/klagomål/A 58954-2022 FSC-klagomål.docx", "A 58954-2022")</f>
        <v/>
      </c>
      <c r="W274">
        <f>HYPERLINK("https://klasma.github.io/Logging_1440/klagomålsmail/A 58954-2022 FSC-klagomål mail.docx", "A 58954-2022")</f>
        <v/>
      </c>
      <c r="X274">
        <f>HYPERLINK("https://klasma.github.io/Logging_1440/tillsyn/A 58954-2022 tillsynsbegäran.docx", "A 58954-2022")</f>
        <v/>
      </c>
      <c r="Y274">
        <f>HYPERLINK("https://klasma.github.io/Logging_1440/tillsynsmail/A 58954-2022 tillsynsbegäran mail.docx", "A 58954-2022")</f>
        <v/>
      </c>
      <c r="Z274">
        <f>HYPERLINK("https://klasma.github.io/Logging_1440/fåglar/A 58954-2022 prioriterade fågelarter.docx", "A 58954-2022")</f>
        <v/>
      </c>
    </row>
    <row r="275" ht="15" customHeight="1">
      <c r="A275" t="inlineStr">
        <is>
          <t>A 3543-2024</t>
        </is>
      </c>
      <c r="B275" s="1" t="n">
        <v>45320</v>
      </c>
      <c r="C275" s="1" t="n">
        <v>46011</v>
      </c>
      <c r="D275" t="inlineStr">
        <is>
          <t>VÄSTRA GÖTALANDS LÄN</t>
        </is>
      </c>
      <c r="E275" t="inlineStr">
        <is>
          <t>LERUM</t>
        </is>
      </c>
      <c r="G275" t="n">
        <v>3.9</v>
      </c>
      <c r="H275" t="n">
        <v>1</v>
      </c>
      <c r="I275" t="n">
        <v>1</v>
      </c>
      <c r="J275" t="n">
        <v>1</v>
      </c>
      <c r="K275" t="n">
        <v>0</v>
      </c>
      <c r="L275" t="n">
        <v>0</v>
      </c>
      <c r="M275" t="n">
        <v>0</v>
      </c>
      <c r="N275" t="n">
        <v>0</v>
      </c>
      <c r="O275" t="n">
        <v>1</v>
      </c>
      <c r="P275" t="n">
        <v>0</v>
      </c>
      <c r="Q275" t="n">
        <v>2</v>
      </c>
      <c r="R275" s="2" t="inlineStr">
        <is>
          <t>Spillkråka
Dolkstekelsglasvinge</t>
        </is>
      </c>
      <c r="S275">
        <f>HYPERLINK("https://klasma.github.io/Logging_1441/artfynd/A 3543-2024 artfynd.xlsx", "A 3543-2024")</f>
        <v/>
      </c>
      <c r="T275">
        <f>HYPERLINK("https://klasma.github.io/Logging_1441/kartor/A 3543-2024 karta.png", "A 3543-2024")</f>
        <v/>
      </c>
      <c r="V275">
        <f>HYPERLINK("https://klasma.github.io/Logging_1441/klagomål/A 3543-2024 FSC-klagomål.docx", "A 3543-2024")</f>
        <v/>
      </c>
      <c r="W275">
        <f>HYPERLINK("https://klasma.github.io/Logging_1441/klagomålsmail/A 3543-2024 FSC-klagomål mail.docx", "A 3543-2024")</f>
        <v/>
      </c>
      <c r="X275">
        <f>HYPERLINK("https://klasma.github.io/Logging_1441/tillsyn/A 3543-2024 tillsynsbegäran.docx", "A 3543-2024")</f>
        <v/>
      </c>
      <c r="Y275">
        <f>HYPERLINK("https://klasma.github.io/Logging_1441/tillsynsmail/A 3543-2024 tillsynsbegäran mail.docx", "A 3543-2024")</f>
        <v/>
      </c>
      <c r="Z275">
        <f>HYPERLINK("https://klasma.github.io/Logging_1441/fåglar/A 3543-2024 prioriterade fågelarter.docx", "A 3543-2024")</f>
        <v/>
      </c>
    </row>
    <row r="276" ht="15" customHeight="1">
      <c r="A276" t="inlineStr">
        <is>
          <t>A 55712-2021</t>
        </is>
      </c>
      <c r="B276" s="1" t="n">
        <v>44476</v>
      </c>
      <c r="C276" s="1" t="n">
        <v>46011</v>
      </c>
      <c r="D276" t="inlineStr">
        <is>
          <t>VÄSTRA GÖTALANDS LÄN</t>
        </is>
      </c>
      <c r="E276" t="inlineStr">
        <is>
          <t>BORÅS</t>
        </is>
      </c>
      <c r="F276" t="inlineStr">
        <is>
          <t>Kommuner</t>
        </is>
      </c>
      <c r="G276" t="n">
        <v>3.6</v>
      </c>
      <c r="H276" t="n">
        <v>1</v>
      </c>
      <c r="I276" t="n">
        <v>0</v>
      </c>
      <c r="J276" t="n">
        <v>0</v>
      </c>
      <c r="K276" t="n">
        <v>1</v>
      </c>
      <c r="L276" t="n">
        <v>0</v>
      </c>
      <c r="M276" t="n">
        <v>1</v>
      </c>
      <c r="N276" t="n">
        <v>0</v>
      </c>
      <c r="O276" t="n">
        <v>2</v>
      </c>
      <c r="P276" t="n">
        <v>2</v>
      </c>
      <c r="Q276" t="n">
        <v>2</v>
      </c>
      <c r="R276" s="2" t="inlineStr">
        <is>
          <t>Skogsalm
Knärot</t>
        </is>
      </c>
      <c r="S276">
        <f>HYPERLINK("https://klasma.github.io/Logging_1490/artfynd/A 55712-2021 artfynd.xlsx", "A 55712-2021")</f>
        <v/>
      </c>
      <c r="T276">
        <f>HYPERLINK("https://klasma.github.io/Logging_1490/kartor/A 55712-2021 karta.png", "A 55712-2021")</f>
        <v/>
      </c>
      <c r="U276">
        <f>HYPERLINK("https://klasma.github.io/Logging_1490/knärot/A 55712-2021 karta knärot.png", "A 55712-2021")</f>
        <v/>
      </c>
      <c r="V276">
        <f>HYPERLINK("https://klasma.github.io/Logging_1490/klagomål/A 55712-2021 FSC-klagomål.docx", "A 55712-2021")</f>
        <v/>
      </c>
      <c r="W276">
        <f>HYPERLINK("https://klasma.github.io/Logging_1490/klagomålsmail/A 55712-2021 FSC-klagomål mail.docx", "A 55712-2021")</f>
        <v/>
      </c>
      <c r="X276">
        <f>HYPERLINK("https://klasma.github.io/Logging_1490/tillsyn/A 55712-2021 tillsynsbegäran.docx", "A 55712-2021")</f>
        <v/>
      </c>
      <c r="Y276">
        <f>HYPERLINK("https://klasma.github.io/Logging_1490/tillsynsmail/A 55712-2021 tillsynsbegäran mail.docx", "A 55712-2021")</f>
        <v/>
      </c>
    </row>
    <row r="277" ht="15" customHeight="1">
      <c r="A277" t="inlineStr">
        <is>
          <t>A 3410-2023</t>
        </is>
      </c>
      <c r="B277" s="1" t="n">
        <v>44949</v>
      </c>
      <c r="C277" s="1" t="n">
        <v>46011</v>
      </c>
      <c r="D277" t="inlineStr">
        <is>
          <t>VÄSTRA GÖTALANDS LÄN</t>
        </is>
      </c>
      <c r="E277" t="inlineStr">
        <is>
          <t>SKÖVDE</t>
        </is>
      </c>
      <c r="F277" t="inlineStr">
        <is>
          <t>Kommuner</t>
        </is>
      </c>
      <c r="G277" t="n">
        <v>1.1</v>
      </c>
      <c r="H277" t="n">
        <v>1</v>
      </c>
      <c r="I277" t="n">
        <v>1</v>
      </c>
      <c r="J277" t="n">
        <v>0</v>
      </c>
      <c r="K277" t="n">
        <v>0</v>
      </c>
      <c r="L277" t="n">
        <v>0</v>
      </c>
      <c r="M277" t="n">
        <v>0</v>
      </c>
      <c r="N277" t="n">
        <v>0</v>
      </c>
      <c r="O277" t="n">
        <v>0</v>
      </c>
      <c r="P277" t="n">
        <v>0</v>
      </c>
      <c r="Q277" t="n">
        <v>2</v>
      </c>
      <c r="R277" s="2" t="inlineStr">
        <is>
          <t>Västlig hakmossa
Revlummer</t>
        </is>
      </c>
      <c r="S277">
        <f>HYPERLINK("https://klasma.github.io/Logging_1496/artfynd/A 3410-2023 artfynd.xlsx", "A 3410-2023")</f>
        <v/>
      </c>
      <c r="T277">
        <f>HYPERLINK("https://klasma.github.io/Logging_1496/kartor/A 3410-2023 karta.png", "A 3410-2023")</f>
        <v/>
      </c>
      <c r="V277">
        <f>HYPERLINK("https://klasma.github.io/Logging_1496/klagomål/A 3410-2023 FSC-klagomål.docx", "A 3410-2023")</f>
        <v/>
      </c>
      <c r="W277">
        <f>HYPERLINK("https://klasma.github.io/Logging_1496/klagomålsmail/A 3410-2023 FSC-klagomål mail.docx", "A 3410-2023")</f>
        <v/>
      </c>
      <c r="X277">
        <f>HYPERLINK("https://klasma.github.io/Logging_1496/tillsyn/A 3410-2023 tillsynsbegäran.docx", "A 3410-2023")</f>
        <v/>
      </c>
      <c r="Y277">
        <f>HYPERLINK("https://klasma.github.io/Logging_1496/tillsynsmail/A 3410-2023 tillsynsbegäran mail.docx", "A 3410-2023")</f>
        <v/>
      </c>
    </row>
    <row r="278" ht="15" customHeight="1">
      <c r="A278" t="inlineStr">
        <is>
          <t>A 44272-2024</t>
        </is>
      </c>
      <c r="B278" s="1" t="n">
        <v>45573.48770833333</v>
      </c>
      <c r="C278" s="1" t="n">
        <v>46011</v>
      </c>
      <c r="D278" t="inlineStr">
        <is>
          <t>VÄSTRA GÖTALANDS LÄN</t>
        </is>
      </c>
      <c r="E278" t="inlineStr">
        <is>
          <t>STENUNGSUND</t>
        </is>
      </c>
      <c r="G278" t="n">
        <v>3.8</v>
      </c>
      <c r="H278" t="n">
        <v>2</v>
      </c>
      <c r="I278" t="n">
        <v>0</v>
      </c>
      <c r="J278" t="n">
        <v>0</v>
      </c>
      <c r="K278" t="n">
        <v>0</v>
      </c>
      <c r="L278" t="n">
        <v>0</v>
      </c>
      <c r="M278" t="n">
        <v>0</v>
      </c>
      <c r="N278" t="n">
        <v>0</v>
      </c>
      <c r="O278" t="n">
        <v>0</v>
      </c>
      <c r="P278" t="n">
        <v>0</v>
      </c>
      <c r="Q278" t="n">
        <v>2</v>
      </c>
      <c r="R278" s="2" t="inlineStr">
        <is>
          <t>Mattlummer
Revlummer</t>
        </is>
      </c>
      <c r="S278">
        <f>HYPERLINK("https://klasma.github.io/Logging_1415/artfynd/A 44272-2024 artfynd.xlsx", "A 44272-2024")</f>
        <v/>
      </c>
      <c r="T278">
        <f>HYPERLINK("https://klasma.github.io/Logging_1415/kartor/A 44272-2024 karta.png", "A 44272-2024")</f>
        <v/>
      </c>
      <c r="V278">
        <f>HYPERLINK("https://klasma.github.io/Logging_1415/klagomål/A 44272-2024 FSC-klagomål.docx", "A 44272-2024")</f>
        <v/>
      </c>
      <c r="W278">
        <f>HYPERLINK("https://klasma.github.io/Logging_1415/klagomålsmail/A 44272-2024 FSC-klagomål mail.docx", "A 44272-2024")</f>
        <v/>
      </c>
      <c r="X278">
        <f>HYPERLINK("https://klasma.github.io/Logging_1415/tillsyn/A 44272-2024 tillsynsbegäran.docx", "A 44272-2024")</f>
        <v/>
      </c>
      <c r="Y278">
        <f>HYPERLINK("https://klasma.github.io/Logging_1415/tillsynsmail/A 44272-2024 tillsynsbegäran mail.docx", "A 44272-2024")</f>
        <v/>
      </c>
    </row>
    <row r="279" ht="15" customHeight="1">
      <c r="A279" t="inlineStr">
        <is>
          <t>A 1491-2025</t>
        </is>
      </c>
      <c r="B279" s="1" t="n">
        <v>45670.39987268519</v>
      </c>
      <c r="C279" s="1" t="n">
        <v>46011</v>
      </c>
      <c r="D279" t="inlineStr">
        <is>
          <t>VÄSTRA GÖTALANDS LÄN</t>
        </is>
      </c>
      <c r="E279" t="inlineStr">
        <is>
          <t>MELLERUD</t>
        </is>
      </c>
      <c r="G279" t="n">
        <v>3.3</v>
      </c>
      <c r="H279" t="n">
        <v>2</v>
      </c>
      <c r="I279" t="n">
        <v>1</v>
      </c>
      <c r="J279" t="n">
        <v>0</v>
      </c>
      <c r="K279" t="n">
        <v>0</v>
      </c>
      <c r="L279" t="n">
        <v>0</v>
      </c>
      <c r="M279" t="n">
        <v>0</v>
      </c>
      <c r="N279" t="n">
        <v>0</v>
      </c>
      <c r="O279" t="n">
        <v>0</v>
      </c>
      <c r="P279" t="n">
        <v>0</v>
      </c>
      <c r="Q279" t="n">
        <v>2</v>
      </c>
      <c r="R279" s="2" t="inlineStr">
        <is>
          <t>Skogsknipprot
Blåsippa</t>
        </is>
      </c>
      <c r="S279">
        <f>HYPERLINK("https://klasma.github.io/Logging_1461/artfynd/A 1491-2025 artfynd.xlsx", "A 1491-2025")</f>
        <v/>
      </c>
      <c r="T279">
        <f>HYPERLINK("https://klasma.github.io/Logging_1461/kartor/A 1491-2025 karta.png", "A 1491-2025")</f>
        <v/>
      </c>
      <c r="V279">
        <f>HYPERLINK("https://klasma.github.io/Logging_1461/klagomål/A 1491-2025 FSC-klagomål.docx", "A 1491-2025")</f>
        <v/>
      </c>
      <c r="W279">
        <f>HYPERLINK("https://klasma.github.io/Logging_1461/klagomålsmail/A 1491-2025 FSC-klagomål mail.docx", "A 1491-2025")</f>
        <v/>
      </c>
      <c r="X279">
        <f>HYPERLINK("https://klasma.github.io/Logging_1461/tillsyn/A 1491-2025 tillsynsbegäran.docx", "A 1491-2025")</f>
        <v/>
      </c>
      <c r="Y279">
        <f>HYPERLINK("https://klasma.github.io/Logging_1461/tillsynsmail/A 1491-2025 tillsynsbegäran mail.docx", "A 1491-2025")</f>
        <v/>
      </c>
    </row>
    <row r="280" ht="15" customHeight="1">
      <c r="A280" t="inlineStr">
        <is>
          <t>A 29576-2024</t>
        </is>
      </c>
      <c r="B280" s="1" t="n">
        <v>45484.56258101852</v>
      </c>
      <c r="C280" s="1" t="n">
        <v>46011</v>
      </c>
      <c r="D280" t="inlineStr">
        <is>
          <t>VÄSTRA GÖTALANDS LÄN</t>
        </is>
      </c>
      <c r="E280" t="inlineStr">
        <is>
          <t>TRANEMO</t>
        </is>
      </c>
      <c r="G280" t="n">
        <v>2.2</v>
      </c>
      <c r="H280" t="n">
        <v>0</v>
      </c>
      <c r="I280" t="n">
        <v>1</v>
      </c>
      <c r="J280" t="n">
        <v>0</v>
      </c>
      <c r="K280" t="n">
        <v>0</v>
      </c>
      <c r="L280" t="n">
        <v>1</v>
      </c>
      <c r="M280" t="n">
        <v>0</v>
      </c>
      <c r="N280" t="n">
        <v>0</v>
      </c>
      <c r="O280" t="n">
        <v>1</v>
      </c>
      <c r="P280" t="n">
        <v>1</v>
      </c>
      <c r="Q280" t="n">
        <v>2</v>
      </c>
      <c r="R280" s="2" t="inlineStr">
        <is>
          <t>Ask
Fällmossa</t>
        </is>
      </c>
      <c r="S280">
        <f>HYPERLINK("https://klasma.github.io/Logging_1452/artfynd/A 29576-2024 artfynd.xlsx", "A 29576-2024")</f>
        <v/>
      </c>
      <c r="T280">
        <f>HYPERLINK("https://klasma.github.io/Logging_1452/kartor/A 29576-2024 karta.png", "A 29576-2024")</f>
        <v/>
      </c>
      <c r="V280">
        <f>HYPERLINK("https://klasma.github.io/Logging_1452/klagomål/A 29576-2024 FSC-klagomål.docx", "A 29576-2024")</f>
        <v/>
      </c>
      <c r="W280">
        <f>HYPERLINK("https://klasma.github.io/Logging_1452/klagomålsmail/A 29576-2024 FSC-klagomål mail.docx", "A 29576-2024")</f>
        <v/>
      </c>
      <c r="X280">
        <f>HYPERLINK("https://klasma.github.io/Logging_1452/tillsyn/A 29576-2024 tillsynsbegäran.docx", "A 29576-2024")</f>
        <v/>
      </c>
      <c r="Y280">
        <f>HYPERLINK("https://klasma.github.io/Logging_1452/tillsynsmail/A 29576-2024 tillsynsbegäran mail.docx", "A 29576-2024")</f>
        <v/>
      </c>
    </row>
    <row r="281" ht="15" customHeight="1">
      <c r="A281" t="inlineStr">
        <is>
          <t>A 2764-2023</t>
        </is>
      </c>
      <c r="B281" s="1" t="n">
        <v>44944.62109953703</v>
      </c>
      <c r="C281" s="1" t="n">
        <v>46011</v>
      </c>
      <c r="D281" t="inlineStr">
        <is>
          <t>VÄSTRA GÖTALANDS LÄN</t>
        </is>
      </c>
      <c r="E281" t="inlineStr">
        <is>
          <t>TIBRO</t>
        </is>
      </c>
      <c r="G281" t="n">
        <v>7.6</v>
      </c>
      <c r="H281" t="n">
        <v>0</v>
      </c>
      <c r="I281" t="n">
        <v>0</v>
      </c>
      <c r="J281" t="n">
        <v>1</v>
      </c>
      <c r="K281" t="n">
        <v>0</v>
      </c>
      <c r="L281" t="n">
        <v>1</v>
      </c>
      <c r="M281" t="n">
        <v>0</v>
      </c>
      <c r="N281" t="n">
        <v>0</v>
      </c>
      <c r="O281" t="n">
        <v>2</v>
      </c>
      <c r="P281" t="n">
        <v>1</v>
      </c>
      <c r="Q281" t="n">
        <v>2</v>
      </c>
      <c r="R281" s="2" t="inlineStr">
        <is>
          <t>Ask
Vårstarr</t>
        </is>
      </c>
      <c r="S281">
        <f>HYPERLINK("https://klasma.github.io/Logging_1472/artfynd/A 2764-2023 artfynd.xlsx", "A 2764-2023")</f>
        <v/>
      </c>
      <c r="T281">
        <f>HYPERLINK("https://klasma.github.io/Logging_1472/kartor/A 2764-2023 karta.png", "A 2764-2023")</f>
        <v/>
      </c>
      <c r="V281">
        <f>HYPERLINK("https://klasma.github.io/Logging_1472/klagomål/A 2764-2023 FSC-klagomål.docx", "A 2764-2023")</f>
        <v/>
      </c>
      <c r="W281">
        <f>HYPERLINK("https://klasma.github.io/Logging_1472/klagomålsmail/A 2764-2023 FSC-klagomål mail.docx", "A 2764-2023")</f>
        <v/>
      </c>
      <c r="X281">
        <f>HYPERLINK("https://klasma.github.io/Logging_1472/tillsyn/A 2764-2023 tillsynsbegäran.docx", "A 2764-2023")</f>
        <v/>
      </c>
      <c r="Y281">
        <f>HYPERLINK("https://klasma.github.io/Logging_1472/tillsynsmail/A 2764-2023 tillsynsbegäran mail.docx", "A 2764-2023")</f>
        <v/>
      </c>
    </row>
    <row r="282" ht="15" customHeight="1">
      <c r="A282" t="inlineStr">
        <is>
          <t>A 57791-2021</t>
        </is>
      </c>
      <c r="B282" s="1" t="n">
        <v>44484</v>
      </c>
      <c r="C282" s="1" t="n">
        <v>46011</v>
      </c>
      <c r="D282" t="inlineStr">
        <is>
          <t>VÄSTRA GÖTALANDS LÄN</t>
        </is>
      </c>
      <c r="E282" t="inlineStr">
        <is>
          <t>MARIESTAD</t>
        </is>
      </c>
      <c r="G282" t="n">
        <v>30.8</v>
      </c>
      <c r="H282" t="n">
        <v>0</v>
      </c>
      <c r="I282" t="n">
        <v>1</v>
      </c>
      <c r="J282" t="n">
        <v>1</v>
      </c>
      <c r="K282" t="n">
        <v>0</v>
      </c>
      <c r="L282" t="n">
        <v>0</v>
      </c>
      <c r="M282" t="n">
        <v>0</v>
      </c>
      <c r="N282" t="n">
        <v>0</v>
      </c>
      <c r="O282" t="n">
        <v>1</v>
      </c>
      <c r="P282" t="n">
        <v>0</v>
      </c>
      <c r="Q282" t="n">
        <v>2</v>
      </c>
      <c r="R282" s="2" t="inlineStr">
        <is>
          <t>Fyrflikig jordstjärna
Blåmossa</t>
        </is>
      </c>
      <c r="S282">
        <f>HYPERLINK("https://klasma.github.io/Logging_1493/artfynd/A 57791-2021 artfynd.xlsx", "A 57791-2021")</f>
        <v/>
      </c>
      <c r="T282">
        <f>HYPERLINK("https://klasma.github.io/Logging_1493/kartor/A 57791-2021 karta.png", "A 57791-2021")</f>
        <v/>
      </c>
      <c r="V282">
        <f>HYPERLINK("https://klasma.github.io/Logging_1493/klagomål/A 57791-2021 FSC-klagomål.docx", "A 57791-2021")</f>
        <v/>
      </c>
      <c r="W282">
        <f>HYPERLINK("https://klasma.github.io/Logging_1493/klagomålsmail/A 57791-2021 FSC-klagomål mail.docx", "A 57791-2021")</f>
        <v/>
      </c>
      <c r="X282">
        <f>HYPERLINK("https://klasma.github.io/Logging_1493/tillsyn/A 57791-2021 tillsynsbegäran.docx", "A 57791-2021")</f>
        <v/>
      </c>
      <c r="Y282">
        <f>HYPERLINK("https://klasma.github.io/Logging_1493/tillsynsmail/A 57791-2021 tillsynsbegäran mail.docx", "A 57791-2021")</f>
        <v/>
      </c>
    </row>
    <row r="283" ht="15" customHeight="1">
      <c r="A283" t="inlineStr">
        <is>
          <t>A 17535-2024</t>
        </is>
      </c>
      <c r="B283" s="1" t="n">
        <v>45415.61755787037</v>
      </c>
      <c r="C283" s="1" t="n">
        <v>46011</v>
      </c>
      <c r="D283" t="inlineStr">
        <is>
          <t>VÄSTRA GÖTALANDS LÄN</t>
        </is>
      </c>
      <c r="E283" t="inlineStr">
        <is>
          <t>ÅMÅL</t>
        </is>
      </c>
      <c r="G283" t="n">
        <v>2.4</v>
      </c>
      <c r="H283" t="n">
        <v>0</v>
      </c>
      <c r="I283" t="n">
        <v>0</v>
      </c>
      <c r="J283" t="n">
        <v>2</v>
      </c>
      <c r="K283" t="n">
        <v>0</v>
      </c>
      <c r="L283" t="n">
        <v>0</v>
      </c>
      <c r="M283" t="n">
        <v>0</v>
      </c>
      <c r="N283" t="n">
        <v>0</v>
      </c>
      <c r="O283" t="n">
        <v>2</v>
      </c>
      <c r="P283" t="n">
        <v>0</v>
      </c>
      <c r="Q283" t="n">
        <v>2</v>
      </c>
      <c r="R283" s="2" t="inlineStr">
        <is>
          <t>Bergjohannesört
Krusfrö</t>
        </is>
      </c>
      <c r="S283">
        <f>HYPERLINK("https://klasma.github.io/Logging_1492/artfynd/A 17535-2024 artfynd.xlsx", "A 17535-2024")</f>
        <v/>
      </c>
      <c r="T283">
        <f>HYPERLINK("https://klasma.github.io/Logging_1492/kartor/A 17535-2024 karta.png", "A 17535-2024")</f>
        <v/>
      </c>
      <c r="V283">
        <f>HYPERLINK("https://klasma.github.io/Logging_1492/klagomål/A 17535-2024 FSC-klagomål.docx", "A 17535-2024")</f>
        <v/>
      </c>
      <c r="W283">
        <f>HYPERLINK("https://klasma.github.io/Logging_1492/klagomålsmail/A 17535-2024 FSC-klagomål mail.docx", "A 17535-2024")</f>
        <v/>
      </c>
      <c r="X283">
        <f>HYPERLINK("https://klasma.github.io/Logging_1492/tillsyn/A 17535-2024 tillsynsbegäran.docx", "A 17535-2024")</f>
        <v/>
      </c>
      <c r="Y283">
        <f>HYPERLINK("https://klasma.github.io/Logging_1492/tillsynsmail/A 17535-2024 tillsynsbegäran mail.docx", "A 17535-2024")</f>
        <v/>
      </c>
    </row>
    <row r="284" ht="15" customHeight="1">
      <c r="A284" t="inlineStr">
        <is>
          <t>A 4173-2022</t>
        </is>
      </c>
      <c r="B284" s="1" t="n">
        <v>44588</v>
      </c>
      <c r="C284" s="1" t="n">
        <v>46011</v>
      </c>
      <c r="D284" t="inlineStr">
        <is>
          <t>VÄSTRA GÖTALANDS LÄN</t>
        </is>
      </c>
      <c r="E284" t="inlineStr">
        <is>
          <t>STRÖMSTAD</t>
        </is>
      </c>
      <c r="G284" t="n">
        <v>2.8</v>
      </c>
      <c r="H284" t="n">
        <v>2</v>
      </c>
      <c r="I284" t="n">
        <v>0</v>
      </c>
      <c r="J284" t="n">
        <v>1</v>
      </c>
      <c r="K284" t="n">
        <v>0</v>
      </c>
      <c r="L284" t="n">
        <v>0</v>
      </c>
      <c r="M284" t="n">
        <v>0</v>
      </c>
      <c r="N284" t="n">
        <v>0</v>
      </c>
      <c r="O284" t="n">
        <v>1</v>
      </c>
      <c r="P284" t="n">
        <v>0</v>
      </c>
      <c r="Q284" t="n">
        <v>2</v>
      </c>
      <c r="R284" s="2" t="inlineStr">
        <is>
          <t>Spillkråka
Revlummer</t>
        </is>
      </c>
      <c r="S284">
        <f>HYPERLINK("https://klasma.github.io/Logging_1486/artfynd/A 4173-2022 artfynd.xlsx", "A 4173-2022")</f>
        <v/>
      </c>
      <c r="T284">
        <f>HYPERLINK("https://klasma.github.io/Logging_1486/kartor/A 4173-2022 karta.png", "A 4173-2022")</f>
        <v/>
      </c>
      <c r="V284">
        <f>HYPERLINK("https://klasma.github.io/Logging_1486/klagomål/A 4173-2022 FSC-klagomål.docx", "A 4173-2022")</f>
        <v/>
      </c>
      <c r="W284">
        <f>HYPERLINK("https://klasma.github.io/Logging_1486/klagomålsmail/A 4173-2022 FSC-klagomål mail.docx", "A 4173-2022")</f>
        <v/>
      </c>
      <c r="X284">
        <f>HYPERLINK("https://klasma.github.io/Logging_1486/tillsyn/A 4173-2022 tillsynsbegäran.docx", "A 4173-2022")</f>
        <v/>
      </c>
      <c r="Y284">
        <f>HYPERLINK("https://klasma.github.io/Logging_1486/tillsynsmail/A 4173-2022 tillsynsbegäran mail.docx", "A 4173-2022")</f>
        <v/>
      </c>
      <c r="Z284">
        <f>HYPERLINK("https://klasma.github.io/Logging_1486/fåglar/A 4173-2022 prioriterade fågelarter.docx", "A 4173-2022")</f>
        <v/>
      </c>
    </row>
    <row r="285" ht="15" customHeight="1">
      <c r="A285" t="inlineStr">
        <is>
          <t>A 26989-2025</t>
        </is>
      </c>
      <c r="B285" s="1" t="n">
        <v>45811.5165625</v>
      </c>
      <c r="C285" s="1" t="n">
        <v>46011</v>
      </c>
      <c r="D285" t="inlineStr">
        <is>
          <t>VÄSTRA GÖTALANDS LÄN</t>
        </is>
      </c>
      <c r="E285" t="inlineStr">
        <is>
          <t>HÄRRYDA</t>
        </is>
      </c>
      <c r="G285" t="n">
        <v>4.6</v>
      </c>
      <c r="H285" t="n">
        <v>2</v>
      </c>
      <c r="I285" t="n">
        <v>0</v>
      </c>
      <c r="J285" t="n">
        <v>0</v>
      </c>
      <c r="K285" t="n">
        <v>0</v>
      </c>
      <c r="L285" t="n">
        <v>0</v>
      </c>
      <c r="M285" t="n">
        <v>0</v>
      </c>
      <c r="N285" t="n">
        <v>0</v>
      </c>
      <c r="O285" t="n">
        <v>0</v>
      </c>
      <c r="P285" t="n">
        <v>0</v>
      </c>
      <c r="Q285" t="n">
        <v>2</v>
      </c>
      <c r="R285" s="2" t="inlineStr">
        <is>
          <t>Kungsfågel
Skogsduva</t>
        </is>
      </c>
      <c r="S285">
        <f>HYPERLINK("https://klasma.github.io/Logging_1401/artfynd/A 26989-2025 artfynd.xlsx", "A 26989-2025")</f>
        <v/>
      </c>
      <c r="T285">
        <f>HYPERLINK("https://klasma.github.io/Logging_1401/kartor/A 26989-2025 karta.png", "A 26989-2025")</f>
        <v/>
      </c>
      <c r="V285">
        <f>HYPERLINK("https://klasma.github.io/Logging_1401/klagomål/A 26989-2025 FSC-klagomål.docx", "A 26989-2025")</f>
        <v/>
      </c>
      <c r="W285">
        <f>HYPERLINK("https://klasma.github.io/Logging_1401/klagomålsmail/A 26989-2025 FSC-klagomål mail.docx", "A 26989-2025")</f>
        <v/>
      </c>
      <c r="X285">
        <f>HYPERLINK("https://klasma.github.io/Logging_1401/tillsyn/A 26989-2025 tillsynsbegäran.docx", "A 26989-2025")</f>
        <v/>
      </c>
      <c r="Y285">
        <f>HYPERLINK("https://klasma.github.io/Logging_1401/tillsynsmail/A 26989-2025 tillsynsbegäran mail.docx", "A 26989-2025")</f>
        <v/>
      </c>
      <c r="Z285">
        <f>HYPERLINK("https://klasma.github.io/Logging_1401/fåglar/A 26989-2025 prioriterade fågelarter.docx", "A 26989-2025")</f>
        <v/>
      </c>
    </row>
    <row r="286" ht="15" customHeight="1">
      <c r="A286" t="inlineStr">
        <is>
          <t>A 15219-2024</t>
        </is>
      </c>
      <c r="B286" s="1" t="n">
        <v>45400</v>
      </c>
      <c r="C286" s="1" t="n">
        <v>46011</v>
      </c>
      <c r="D286" t="inlineStr">
        <is>
          <t>VÄSTRA GÖTALANDS LÄN</t>
        </is>
      </c>
      <c r="E286" t="inlineStr">
        <is>
          <t>LIDKÖPING</t>
        </is>
      </c>
      <c r="G286" t="n">
        <v>6.7</v>
      </c>
      <c r="H286" t="n">
        <v>0</v>
      </c>
      <c r="I286" t="n">
        <v>0</v>
      </c>
      <c r="J286" t="n">
        <v>2</v>
      </c>
      <c r="K286" t="n">
        <v>0</v>
      </c>
      <c r="L286" t="n">
        <v>0</v>
      </c>
      <c r="M286" t="n">
        <v>0</v>
      </c>
      <c r="N286" t="n">
        <v>0</v>
      </c>
      <c r="O286" t="n">
        <v>2</v>
      </c>
      <c r="P286" t="n">
        <v>0</v>
      </c>
      <c r="Q286" t="n">
        <v>2</v>
      </c>
      <c r="R286" s="2" t="inlineStr">
        <is>
          <t>Tallticka
Tårkragskivling</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40931-2025</t>
        </is>
      </c>
      <c r="B287" s="1" t="n">
        <v>45897.64783564815</v>
      </c>
      <c r="C287" s="1" t="n">
        <v>46011</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17693-2023</t>
        </is>
      </c>
      <c r="B288" s="1" t="n">
        <v>45037</v>
      </c>
      <c r="C288" s="1" t="n">
        <v>46011</v>
      </c>
      <c r="D288" t="inlineStr">
        <is>
          <t>VÄSTRA GÖTALANDS LÄN</t>
        </is>
      </c>
      <c r="E288" t="inlineStr">
        <is>
          <t>MELLERUD</t>
        </is>
      </c>
      <c r="G288" t="n">
        <v>11.3</v>
      </c>
      <c r="H288" t="n">
        <v>0</v>
      </c>
      <c r="I288" t="n">
        <v>0</v>
      </c>
      <c r="J288" t="n">
        <v>2</v>
      </c>
      <c r="K288" t="n">
        <v>0</v>
      </c>
      <c r="L288" t="n">
        <v>0</v>
      </c>
      <c r="M288" t="n">
        <v>0</v>
      </c>
      <c r="N288" t="n">
        <v>0</v>
      </c>
      <c r="O288" t="n">
        <v>2</v>
      </c>
      <c r="P288" t="n">
        <v>0</v>
      </c>
      <c r="Q288" t="n">
        <v>2</v>
      </c>
      <c r="R288" s="2" t="inlineStr">
        <is>
          <t>Bergjohannesört
Vippärt</t>
        </is>
      </c>
      <c r="S288">
        <f>HYPERLINK("https://klasma.github.io/Logging_1461/artfynd/A 17693-2023 artfynd.xlsx", "A 17693-2023")</f>
        <v/>
      </c>
      <c r="T288">
        <f>HYPERLINK("https://klasma.github.io/Logging_1461/kartor/A 17693-2023 karta.png", "A 17693-2023")</f>
        <v/>
      </c>
      <c r="V288">
        <f>HYPERLINK("https://klasma.github.io/Logging_1461/klagomål/A 17693-2023 FSC-klagomål.docx", "A 17693-2023")</f>
        <v/>
      </c>
      <c r="W288">
        <f>HYPERLINK("https://klasma.github.io/Logging_1461/klagomålsmail/A 17693-2023 FSC-klagomål mail.docx", "A 17693-2023")</f>
        <v/>
      </c>
      <c r="X288">
        <f>HYPERLINK("https://klasma.github.io/Logging_1461/tillsyn/A 17693-2023 tillsynsbegäran.docx", "A 17693-2023")</f>
        <v/>
      </c>
      <c r="Y288">
        <f>HYPERLINK("https://klasma.github.io/Logging_1461/tillsynsmail/A 17693-2023 tillsynsbegäran mail.docx", "A 17693-2023")</f>
        <v/>
      </c>
    </row>
    <row r="289" ht="15" customHeight="1">
      <c r="A289" t="inlineStr">
        <is>
          <t>A 2270-2025</t>
        </is>
      </c>
      <c r="B289" s="1" t="n">
        <v>45673.54403935185</v>
      </c>
      <c r="C289" s="1" t="n">
        <v>46011</v>
      </c>
      <c r="D289" t="inlineStr">
        <is>
          <t>VÄSTRA GÖTALANDS LÄN</t>
        </is>
      </c>
      <c r="E289" t="inlineStr">
        <is>
          <t>ALE</t>
        </is>
      </c>
      <c r="G289" t="n">
        <v>4.1</v>
      </c>
      <c r="H289" t="n">
        <v>2</v>
      </c>
      <c r="I289" t="n">
        <v>0</v>
      </c>
      <c r="J289" t="n">
        <v>1</v>
      </c>
      <c r="K289" t="n">
        <v>0</v>
      </c>
      <c r="L289" t="n">
        <v>0</v>
      </c>
      <c r="M289" t="n">
        <v>0</v>
      </c>
      <c r="N289" t="n">
        <v>0</v>
      </c>
      <c r="O289" t="n">
        <v>1</v>
      </c>
      <c r="P289" t="n">
        <v>0</v>
      </c>
      <c r="Q289" t="n">
        <v>2</v>
      </c>
      <c r="R289" s="2" t="inlineStr">
        <is>
          <t>Spillkråka
Revlummer</t>
        </is>
      </c>
      <c r="S289">
        <f>HYPERLINK("https://klasma.github.io/Logging_1440/artfynd/A 2270-2025 artfynd.xlsx", "A 2270-2025")</f>
        <v/>
      </c>
      <c r="T289">
        <f>HYPERLINK("https://klasma.github.io/Logging_1440/kartor/A 2270-2025 karta.png", "A 2270-2025")</f>
        <v/>
      </c>
      <c r="V289">
        <f>HYPERLINK("https://klasma.github.io/Logging_1440/klagomål/A 2270-2025 FSC-klagomål.docx", "A 2270-2025")</f>
        <v/>
      </c>
      <c r="W289">
        <f>HYPERLINK("https://klasma.github.io/Logging_1440/klagomålsmail/A 2270-2025 FSC-klagomål mail.docx", "A 2270-2025")</f>
        <v/>
      </c>
      <c r="X289">
        <f>HYPERLINK("https://klasma.github.io/Logging_1440/tillsyn/A 2270-2025 tillsynsbegäran.docx", "A 2270-2025")</f>
        <v/>
      </c>
      <c r="Y289">
        <f>HYPERLINK("https://klasma.github.io/Logging_1440/tillsynsmail/A 2270-2025 tillsynsbegäran mail.docx", "A 2270-2025")</f>
        <v/>
      </c>
      <c r="Z289">
        <f>HYPERLINK("https://klasma.github.io/Logging_1440/fåglar/A 2270-2025 prioriterade fågelarter.docx", "A 2270-2025")</f>
        <v/>
      </c>
    </row>
    <row r="290" ht="15" customHeight="1">
      <c r="A290" t="inlineStr">
        <is>
          <t>A 1503-2024</t>
        </is>
      </c>
      <c r="B290" s="1" t="n">
        <v>45306.35041666667</v>
      </c>
      <c r="C290" s="1" t="n">
        <v>46011</v>
      </c>
      <c r="D290" t="inlineStr">
        <is>
          <t>VÄSTRA GÖTALANDS LÄN</t>
        </is>
      </c>
      <c r="E290" t="inlineStr">
        <is>
          <t>ALE</t>
        </is>
      </c>
      <c r="G290" t="n">
        <v>6.6</v>
      </c>
      <c r="H290" t="n">
        <v>2</v>
      </c>
      <c r="I290" t="n">
        <v>0</v>
      </c>
      <c r="J290" t="n">
        <v>1</v>
      </c>
      <c r="K290" t="n">
        <v>0</v>
      </c>
      <c r="L290" t="n">
        <v>0</v>
      </c>
      <c r="M290" t="n">
        <v>0</v>
      </c>
      <c r="N290" t="n">
        <v>0</v>
      </c>
      <c r="O290" t="n">
        <v>1</v>
      </c>
      <c r="P290" t="n">
        <v>0</v>
      </c>
      <c r="Q290" t="n">
        <v>2</v>
      </c>
      <c r="R290" s="2" t="inlineStr">
        <is>
          <t>Spillkråka
Revlummer</t>
        </is>
      </c>
      <c r="S290">
        <f>HYPERLINK("https://klasma.github.io/Logging_1440/artfynd/A 1503-2024 artfynd.xlsx", "A 1503-2024")</f>
        <v/>
      </c>
      <c r="T290">
        <f>HYPERLINK("https://klasma.github.io/Logging_1440/kartor/A 1503-2024 karta.png", "A 1503-2024")</f>
        <v/>
      </c>
      <c r="V290">
        <f>HYPERLINK("https://klasma.github.io/Logging_1440/klagomål/A 1503-2024 FSC-klagomål.docx", "A 1503-2024")</f>
        <v/>
      </c>
      <c r="W290">
        <f>HYPERLINK("https://klasma.github.io/Logging_1440/klagomålsmail/A 1503-2024 FSC-klagomål mail.docx", "A 1503-2024")</f>
        <v/>
      </c>
      <c r="X290">
        <f>HYPERLINK("https://klasma.github.io/Logging_1440/tillsyn/A 1503-2024 tillsynsbegäran.docx", "A 1503-2024")</f>
        <v/>
      </c>
      <c r="Y290">
        <f>HYPERLINK("https://klasma.github.io/Logging_1440/tillsynsmail/A 1503-2024 tillsynsbegäran mail.docx", "A 1503-2024")</f>
        <v/>
      </c>
      <c r="Z290">
        <f>HYPERLINK("https://klasma.github.io/Logging_1440/fåglar/A 1503-2024 prioriterade fågelarter.docx", "A 1503-2024")</f>
        <v/>
      </c>
    </row>
    <row r="291" ht="15" customHeight="1">
      <c r="A291" t="inlineStr">
        <is>
          <t>A 6252-2024</t>
        </is>
      </c>
      <c r="B291" s="1" t="n">
        <v>45337.7322337963</v>
      </c>
      <c r="C291" s="1" t="n">
        <v>46011</v>
      </c>
      <c r="D291" t="inlineStr">
        <is>
          <t>VÄSTRA GÖTALANDS LÄN</t>
        </is>
      </c>
      <c r="E291" t="inlineStr">
        <is>
          <t>FALKÖPING</t>
        </is>
      </c>
      <c r="G291" t="n">
        <v>4.2</v>
      </c>
      <c r="H291" t="n">
        <v>2</v>
      </c>
      <c r="I291" t="n">
        <v>0</v>
      </c>
      <c r="J291" t="n">
        <v>0</v>
      </c>
      <c r="K291" t="n">
        <v>0</v>
      </c>
      <c r="L291" t="n">
        <v>0</v>
      </c>
      <c r="M291" t="n">
        <v>0</v>
      </c>
      <c r="N291" t="n">
        <v>0</v>
      </c>
      <c r="O291" t="n">
        <v>0</v>
      </c>
      <c r="P291" t="n">
        <v>0</v>
      </c>
      <c r="Q291" t="n">
        <v>2</v>
      </c>
      <c r="R291" s="2" t="inlineStr">
        <is>
          <t>Blåsippa
Revlummer</t>
        </is>
      </c>
      <c r="S291">
        <f>HYPERLINK("https://klasma.github.io/Logging_1499/artfynd/A 6252-2024 artfynd.xlsx", "A 6252-2024")</f>
        <v/>
      </c>
      <c r="T291">
        <f>HYPERLINK("https://klasma.github.io/Logging_1499/kartor/A 6252-2024 karta.png", "A 6252-2024")</f>
        <v/>
      </c>
      <c r="V291">
        <f>HYPERLINK("https://klasma.github.io/Logging_1499/klagomål/A 6252-2024 FSC-klagomål.docx", "A 6252-2024")</f>
        <v/>
      </c>
      <c r="W291">
        <f>HYPERLINK("https://klasma.github.io/Logging_1499/klagomålsmail/A 6252-2024 FSC-klagomål mail.docx", "A 6252-2024")</f>
        <v/>
      </c>
      <c r="X291">
        <f>HYPERLINK("https://klasma.github.io/Logging_1499/tillsyn/A 6252-2024 tillsynsbegäran.docx", "A 6252-2024")</f>
        <v/>
      </c>
      <c r="Y291">
        <f>HYPERLINK("https://klasma.github.io/Logging_1499/tillsynsmail/A 6252-2024 tillsynsbegäran mail.docx", "A 6252-2024")</f>
        <v/>
      </c>
    </row>
    <row r="292" ht="15" customHeight="1">
      <c r="A292" t="inlineStr">
        <is>
          <t>A 41407-2025</t>
        </is>
      </c>
      <c r="B292" s="1" t="n">
        <v>45901.34576388889</v>
      </c>
      <c r="C292" s="1" t="n">
        <v>46011</v>
      </c>
      <c r="D292" t="inlineStr">
        <is>
          <t>VÄSTRA GÖTALANDS LÄN</t>
        </is>
      </c>
      <c r="E292" t="inlineStr">
        <is>
          <t>BENGTSFORS</t>
        </is>
      </c>
      <c r="G292" t="n">
        <v>0.7</v>
      </c>
      <c r="H292" t="n">
        <v>0</v>
      </c>
      <c r="I292" t="n">
        <v>2</v>
      </c>
      <c r="J292" t="n">
        <v>0</v>
      </c>
      <c r="K292" t="n">
        <v>0</v>
      </c>
      <c r="L292" t="n">
        <v>0</v>
      </c>
      <c r="M292" t="n">
        <v>0</v>
      </c>
      <c r="N292" t="n">
        <v>0</v>
      </c>
      <c r="O292" t="n">
        <v>0</v>
      </c>
      <c r="P292" t="n">
        <v>0</v>
      </c>
      <c r="Q292" t="n">
        <v>2</v>
      </c>
      <c r="R292" s="2" t="inlineStr">
        <is>
          <t>Fjällig taggsvamp s.str.
Svavelriska</t>
        </is>
      </c>
      <c r="S292">
        <f>HYPERLINK("https://klasma.github.io/Logging_1460/artfynd/A 41407-2025 artfynd.xlsx", "A 41407-2025")</f>
        <v/>
      </c>
      <c r="T292">
        <f>HYPERLINK("https://klasma.github.io/Logging_1460/kartor/A 41407-2025 karta.png", "A 41407-2025")</f>
        <v/>
      </c>
      <c r="V292">
        <f>HYPERLINK("https://klasma.github.io/Logging_1460/klagomål/A 41407-2025 FSC-klagomål.docx", "A 41407-2025")</f>
        <v/>
      </c>
      <c r="W292">
        <f>HYPERLINK("https://klasma.github.io/Logging_1460/klagomålsmail/A 41407-2025 FSC-klagomål mail.docx", "A 41407-2025")</f>
        <v/>
      </c>
      <c r="X292">
        <f>HYPERLINK("https://klasma.github.io/Logging_1460/tillsyn/A 41407-2025 tillsynsbegäran.docx", "A 41407-2025")</f>
        <v/>
      </c>
      <c r="Y292">
        <f>HYPERLINK("https://klasma.github.io/Logging_1460/tillsynsmail/A 41407-2025 tillsynsbegäran mail.docx", "A 41407-2025")</f>
        <v/>
      </c>
    </row>
    <row r="293" ht="15" customHeight="1">
      <c r="A293" t="inlineStr">
        <is>
          <t>A 6041-2025</t>
        </is>
      </c>
      <c r="B293" s="1" t="n">
        <v>45695.66287037037</v>
      </c>
      <c r="C293" s="1" t="n">
        <v>46011</v>
      </c>
      <c r="D293" t="inlineStr">
        <is>
          <t>VÄSTRA GÖTALANDS LÄN</t>
        </is>
      </c>
      <c r="E293" t="inlineStr">
        <is>
          <t>KUNGÄLV</t>
        </is>
      </c>
      <c r="G293" t="n">
        <v>8.800000000000001</v>
      </c>
      <c r="H293" t="n">
        <v>1</v>
      </c>
      <c r="I293" t="n">
        <v>1</v>
      </c>
      <c r="J293" t="n">
        <v>1</v>
      </c>
      <c r="K293" t="n">
        <v>0</v>
      </c>
      <c r="L293" t="n">
        <v>0</v>
      </c>
      <c r="M293" t="n">
        <v>0</v>
      </c>
      <c r="N293" t="n">
        <v>0</v>
      </c>
      <c r="O293" t="n">
        <v>1</v>
      </c>
      <c r="P293" t="n">
        <v>0</v>
      </c>
      <c r="Q293" t="n">
        <v>2</v>
      </c>
      <c r="R293" s="2" t="inlineStr">
        <is>
          <t>Spillkråka
Kambräken</t>
        </is>
      </c>
      <c r="S293">
        <f>HYPERLINK("https://klasma.github.io/Logging_1482/artfynd/A 6041-2025 artfynd.xlsx", "A 6041-2025")</f>
        <v/>
      </c>
      <c r="T293">
        <f>HYPERLINK("https://klasma.github.io/Logging_1482/kartor/A 6041-2025 karta.png", "A 6041-2025")</f>
        <v/>
      </c>
      <c r="V293">
        <f>HYPERLINK("https://klasma.github.io/Logging_1482/klagomål/A 6041-2025 FSC-klagomål.docx", "A 6041-2025")</f>
        <v/>
      </c>
      <c r="W293">
        <f>HYPERLINK("https://klasma.github.io/Logging_1482/klagomålsmail/A 6041-2025 FSC-klagomål mail.docx", "A 6041-2025")</f>
        <v/>
      </c>
      <c r="X293">
        <f>HYPERLINK("https://klasma.github.io/Logging_1482/tillsyn/A 6041-2025 tillsynsbegäran.docx", "A 6041-2025")</f>
        <v/>
      </c>
      <c r="Y293">
        <f>HYPERLINK("https://klasma.github.io/Logging_1482/tillsynsmail/A 6041-2025 tillsynsbegäran mail.docx", "A 6041-2025")</f>
        <v/>
      </c>
      <c r="Z293">
        <f>HYPERLINK("https://klasma.github.io/Logging_1482/fåglar/A 6041-2025 prioriterade fågelarter.docx", "A 6041-2025")</f>
        <v/>
      </c>
    </row>
    <row r="294" ht="15" customHeight="1">
      <c r="A294" t="inlineStr">
        <is>
          <t>A 42882-2025</t>
        </is>
      </c>
      <c r="B294" s="1" t="n">
        <v>45908.63990740741</v>
      </c>
      <c r="C294" s="1" t="n">
        <v>46011</v>
      </c>
      <c r="D294" t="inlineStr">
        <is>
          <t>VÄSTRA GÖTALANDS LÄN</t>
        </is>
      </c>
      <c r="E294" t="inlineStr">
        <is>
          <t>FÄRGELANDA</t>
        </is>
      </c>
      <c r="G294" t="n">
        <v>2.6</v>
      </c>
      <c r="H294" t="n">
        <v>2</v>
      </c>
      <c r="I294" t="n">
        <v>0</v>
      </c>
      <c r="J294" t="n">
        <v>0</v>
      </c>
      <c r="K294" t="n">
        <v>0</v>
      </c>
      <c r="L294" t="n">
        <v>0</v>
      </c>
      <c r="M294" t="n">
        <v>0</v>
      </c>
      <c r="N294" t="n">
        <v>0</v>
      </c>
      <c r="O294" t="n">
        <v>0</v>
      </c>
      <c r="P294" t="n">
        <v>0</v>
      </c>
      <c r="Q294" t="n">
        <v>2</v>
      </c>
      <c r="R294" s="2" t="inlineStr">
        <is>
          <t>Fläcknycklar
Revlummer</t>
        </is>
      </c>
      <c r="S294">
        <f>HYPERLINK("https://klasma.github.io/Logging_1439/artfynd/A 42882-2025 artfynd.xlsx", "A 42882-2025")</f>
        <v/>
      </c>
      <c r="T294">
        <f>HYPERLINK("https://klasma.github.io/Logging_1439/kartor/A 42882-2025 karta.png", "A 42882-2025")</f>
        <v/>
      </c>
      <c r="V294">
        <f>HYPERLINK("https://klasma.github.io/Logging_1439/klagomål/A 42882-2025 FSC-klagomål.docx", "A 42882-2025")</f>
        <v/>
      </c>
      <c r="W294">
        <f>HYPERLINK("https://klasma.github.io/Logging_1439/klagomålsmail/A 42882-2025 FSC-klagomål mail.docx", "A 42882-2025")</f>
        <v/>
      </c>
      <c r="X294">
        <f>HYPERLINK("https://klasma.github.io/Logging_1439/tillsyn/A 42882-2025 tillsynsbegäran.docx", "A 42882-2025")</f>
        <v/>
      </c>
      <c r="Y294">
        <f>HYPERLINK("https://klasma.github.io/Logging_1439/tillsynsmail/A 42882-2025 tillsynsbegäran mail.docx", "A 42882-2025")</f>
        <v/>
      </c>
    </row>
    <row r="295" ht="15" customHeight="1">
      <c r="A295" t="inlineStr">
        <is>
          <t>A 49689-2023</t>
        </is>
      </c>
      <c r="B295" s="1" t="n">
        <v>45212.36836805556</v>
      </c>
      <c r="C295" s="1" t="n">
        <v>46011</v>
      </c>
      <c r="D295" t="inlineStr">
        <is>
          <t>VÄSTRA GÖTALANDS LÄN</t>
        </is>
      </c>
      <c r="E295" t="inlineStr">
        <is>
          <t>BENGTSFORS</t>
        </is>
      </c>
      <c r="G295" t="n">
        <v>6.9</v>
      </c>
      <c r="H295" t="n">
        <v>1</v>
      </c>
      <c r="I295" t="n">
        <v>1</v>
      </c>
      <c r="J295" t="n">
        <v>0</v>
      </c>
      <c r="K295" t="n">
        <v>0</v>
      </c>
      <c r="L295" t="n">
        <v>0</v>
      </c>
      <c r="M295" t="n">
        <v>0</v>
      </c>
      <c r="N295" t="n">
        <v>0</v>
      </c>
      <c r="O295" t="n">
        <v>0</v>
      </c>
      <c r="P295" t="n">
        <v>0</v>
      </c>
      <c r="Q295" t="n">
        <v>2</v>
      </c>
      <c r="R295" s="2" t="inlineStr">
        <is>
          <t>Dropptaggsvamp
Revlummer</t>
        </is>
      </c>
      <c r="S295">
        <f>HYPERLINK("https://klasma.github.io/Logging_1460/artfynd/A 49689-2023 artfynd.xlsx", "A 49689-2023")</f>
        <v/>
      </c>
      <c r="T295">
        <f>HYPERLINK("https://klasma.github.io/Logging_1460/kartor/A 49689-2023 karta.png", "A 49689-2023")</f>
        <v/>
      </c>
      <c r="V295">
        <f>HYPERLINK("https://klasma.github.io/Logging_1460/klagomål/A 49689-2023 FSC-klagomål.docx", "A 49689-2023")</f>
        <v/>
      </c>
      <c r="W295">
        <f>HYPERLINK("https://klasma.github.io/Logging_1460/klagomålsmail/A 49689-2023 FSC-klagomål mail.docx", "A 49689-2023")</f>
        <v/>
      </c>
      <c r="X295">
        <f>HYPERLINK("https://klasma.github.io/Logging_1460/tillsyn/A 49689-2023 tillsynsbegäran.docx", "A 49689-2023")</f>
        <v/>
      </c>
      <c r="Y295">
        <f>HYPERLINK("https://klasma.github.io/Logging_1460/tillsynsmail/A 49689-2023 tillsynsbegäran mail.docx", "A 49689-2023")</f>
        <v/>
      </c>
    </row>
    <row r="296" ht="15" customHeight="1">
      <c r="A296" t="inlineStr">
        <is>
          <t>A 13380-2025</t>
        </is>
      </c>
      <c r="B296" s="1" t="n">
        <v>45735.6765162037</v>
      </c>
      <c r="C296" s="1" t="n">
        <v>46011</v>
      </c>
      <c r="D296" t="inlineStr">
        <is>
          <t>VÄSTRA GÖTALANDS LÄN</t>
        </is>
      </c>
      <c r="E296" t="inlineStr">
        <is>
          <t>ALE</t>
        </is>
      </c>
      <c r="G296" t="n">
        <v>1.8</v>
      </c>
      <c r="H296" t="n">
        <v>2</v>
      </c>
      <c r="I296" t="n">
        <v>0</v>
      </c>
      <c r="J296" t="n">
        <v>2</v>
      </c>
      <c r="K296" t="n">
        <v>0</v>
      </c>
      <c r="L296" t="n">
        <v>0</v>
      </c>
      <c r="M296" t="n">
        <v>0</v>
      </c>
      <c r="N296" t="n">
        <v>0</v>
      </c>
      <c r="O296" t="n">
        <v>2</v>
      </c>
      <c r="P296" t="n">
        <v>0</v>
      </c>
      <c r="Q296" t="n">
        <v>2</v>
      </c>
      <c r="R296" s="2" t="inlineStr">
        <is>
          <t>Entita
Spillkråka</t>
        </is>
      </c>
      <c r="S296">
        <f>HYPERLINK("https://klasma.github.io/Logging_1440/artfynd/A 13380-2025 artfynd.xlsx", "A 13380-2025")</f>
        <v/>
      </c>
      <c r="T296">
        <f>HYPERLINK("https://klasma.github.io/Logging_1440/kartor/A 13380-2025 karta.png", "A 13380-2025")</f>
        <v/>
      </c>
      <c r="V296">
        <f>HYPERLINK("https://klasma.github.io/Logging_1440/klagomål/A 13380-2025 FSC-klagomål.docx", "A 13380-2025")</f>
        <v/>
      </c>
      <c r="W296">
        <f>HYPERLINK("https://klasma.github.io/Logging_1440/klagomålsmail/A 13380-2025 FSC-klagomål mail.docx", "A 13380-2025")</f>
        <v/>
      </c>
      <c r="X296">
        <f>HYPERLINK("https://klasma.github.io/Logging_1440/tillsyn/A 13380-2025 tillsynsbegäran.docx", "A 13380-2025")</f>
        <v/>
      </c>
      <c r="Y296">
        <f>HYPERLINK("https://klasma.github.io/Logging_1440/tillsynsmail/A 13380-2025 tillsynsbegäran mail.docx", "A 13380-2025")</f>
        <v/>
      </c>
      <c r="Z296">
        <f>HYPERLINK("https://klasma.github.io/Logging_1440/fåglar/A 13380-2025 prioriterade fågelarter.docx", "A 13380-2025")</f>
        <v/>
      </c>
    </row>
    <row r="297" ht="15" customHeight="1">
      <c r="A297" t="inlineStr">
        <is>
          <t>A 13612-2025</t>
        </is>
      </c>
      <c r="B297" s="1" t="n">
        <v>45736.62466435185</v>
      </c>
      <c r="C297" s="1" t="n">
        <v>46011</v>
      </c>
      <c r="D297" t="inlineStr">
        <is>
          <t>VÄSTRA GÖTALANDS LÄN</t>
        </is>
      </c>
      <c r="E297" t="inlineStr">
        <is>
          <t>MARK</t>
        </is>
      </c>
      <c r="F297" t="inlineStr">
        <is>
          <t>Kommuner</t>
        </is>
      </c>
      <c r="G297" t="n">
        <v>5.8</v>
      </c>
      <c r="H297" t="n">
        <v>1</v>
      </c>
      <c r="I297" t="n">
        <v>0</v>
      </c>
      <c r="J297" t="n">
        <v>1</v>
      </c>
      <c r="K297" t="n">
        <v>1</v>
      </c>
      <c r="L297" t="n">
        <v>0</v>
      </c>
      <c r="M297" t="n">
        <v>0</v>
      </c>
      <c r="N297" t="n">
        <v>0</v>
      </c>
      <c r="O297" t="n">
        <v>2</v>
      </c>
      <c r="P297" t="n">
        <v>1</v>
      </c>
      <c r="Q297" t="n">
        <v>2</v>
      </c>
      <c r="R297" s="2" t="inlineStr">
        <is>
          <t>Knärot
Mjukdån</t>
        </is>
      </c>
      <c r="S297">
        <f>HYPERLINK("https://klasma.github.io/Logging_1463/artfynd/A 13612-2025 artfynd.xlsx", "A 13612-2025")</f>
        <v/>
      </c>
      <c r="T297">
        <f>HYPERLINK("https://klasma.github.io/Logging_1463/kartor/A 13612-2025 karta.png", "A 13612-2025")</f>
        <v/>
      </c>
      <c r="U297">
        <f>HYPERLINK("https://klasma.github.io/Logging_1463/knärot/A 13612-2025 karta knärot.png", "A 13612-2025")</f>
        <v/>
      </c>
      <c r="V297">
        <f>HYPERLINK("https://klasma.github.io/Logging_1463/klagomål/A 13612-2025 FSC-klagomål.docx", "A 13612-2025")</f>
        <v/>
      </c>
      <c r="W297">
        <f>HYPERLINK("https://klasma.github.io/Logging_1463/klagomålsmail/A 13612-2025 FSC-klagomål mail.docx", "A 13612-2025")</f>
        <v/>
      </c>
      <c r="X297">
        <f>HYPERLINK("https://klasma.github.io/Logging_1463/tillsyn/A 13612-2025 tillsynsbegäran.docx", "A 13612-2025")</f>
        <v/>
      </c>
      <c r="Y297">
        <f>HYPERLINK("https://klasma.github.io/Logging_1463/tillsynsmail/A 13612-2025 tillsynsbegäran mail.docx", "A 13612-2025")</f>
        <v/>
      </c>
    </row>
    <row r="298" ht="15" customHeight="1">
      <c r="A298" t="inlineStr">
        <is>
          <t>A 61281-2023</t>
        </is>
      </c>
      <c r="B298" s="1" t="n">
        <v>45264.53585648148</v>
      </c>
      <c r="C298" s="1" t="n">
        <v>46011</v>
      </c>
      <c r="D298" t="inlineStr">
        <is>
          <t>VÄSTRA GÖTALANDS LÄN</t>
        </is>
      </c>
      <c r="E298" t="inlineStr">
        <is>
          <t>TÖREBODA</t>
        </is>
      </c>
      <c r="F298" t="inlineStr">
        <is>
          <t>Kyrkan</t>
        </is>
      </c>
      <c r="G298" t="n">
        <v>20.8</v>
      </c>
      <c r="H298" t="n">
        <v>2</v>
      </c>
      <c r="I298" t="n">
        <v>0</v>
      </c>
      <c r="J298" t="n">
        <v>1</v>
      </c>
      <c r="K298" t="n">
        <v>0</v>
      </c>
      <c r="L298" t="n">
        <v>0</v>
      </c>
      <c r="M298" t="n">
        <v>0</v>
      </c>
      <c r="N298" t="n">
        <v>0</v>
      </c>
      <c r="O298" t="n">
        <v>1</v>
      </c>
      <c r="P298" t="n">
        <v>0</v>
      </c>
      <c r="Q298" t="n">
        <v>2</v>
      </c>
      <c r="R298" s="2" t="inlineStr">
        <is>
          <t>Talltita
Vanlig snok</t>
        </is>
      </c>
      <c r="S298">
        <f>HYPERLINK("https://klasma.github.io/Logging_1473/artfynd/A 61281-2023 artfynd.xlsx", "A 61281-2023")</f>
        <v/>
      </c>
      <c r="T298">
        <f>HYPERLINK("https://klasma.github.io/Logging_1473/kartor/A 61281-2023 karta.png", "A 61281-2023")</f>
        <v/>
      </c>
      <c r="V298">
        <f>HYPERLINK("https://klasma.github.io/Logging_1473/klagomål/A 61281-2023 FSC-klagomål.docx", "A 61281-2023")</f>
        <v/>
      </c>
      <c r="W298">
        <f>HYPERLINK("https://klasma.github.io/Logging_1473/klagomålsmail/A 61281-2023 FSC-klagomål mail.docx", "A 61281-2023")</f>
        <v/>
      </c>
      <c r="X298">
        <f>HYPERLINK("https://klasma.github.io/Logging_1473/tillsyn/A 61281-2023 tillsynsbegäran.docx", "A 61281-2023")</f>
        <v/>
      </c>
      <c r="Y298">
        <f>HYPERLINK("https://klasma.github.io/Logging_1473/tillsynsmail/A 61281-2023 tillsynsbegäran mail.docx", "A 61281-2023")</f>
        <v/>
      </c>
      <c r="Z298">
        <f>HYPERLINK("https://klasma.github.io/Logging_1473/fåglar/A 61281-2023 prioriterade fågelarter.docx", "A 61281-2023")</f>
        <v/>
      </c>
    </row>
    <row r="299" ht="15" customHeight="1">
      <c r="A299" t="inlineStr">
        <is>
          <t>A 43003-2024</t>
        </is>
      </c>
      <c r="B299" s="1" t="n">
        <v>45567.37613425926</v>
      </c>
      <c r="C299" s="1" t="n">
        <v>46011</v>
      </c>
      <c r="D299" t="inlineStr">
        <is>
          <t>VÄSTRA GÖTALANDS LÄN</t>
        </is>
      </c>
      <c r="E299" t="inlineStr">
        <is>
          <t>SKÖVDE</t>
        </is>
      </c>
      <c r="G299" t="n">
        <v>2.6</v>
      </c>
      <c r="H299" t="n">
        <v>0</v>
      </c>
      <c r="I299" t="n">
        <v>1</v>
      </c>
      <c r="J299" t="n">
        <v>1</v>
      </c>
      <c r="K299" t="n">
        <v>0</v>
      </c>
      <c r="L299" t="n">
        <v>0</v>
      </c>
      <c r="M299" t="n">
        <v>0</v>
      </c>
      <c r="N299" t="n">
        <v>0</v>
      </c>
      <c r="O299" t="n">
        <v>1</v>
      </c>
      <c r="P299" t="n">
        <v>0</v>
      </c>
      <c r="Q299" t="n">
        <v>2</v>
      </c>
      <c r="R299" s="2" t="inlineStr">
        <is>
          <t>Desmeknopp
Scharlakansskål</t>
        </is>
      </c>
      <c r="S299">
        <f>HYPERLINK("https://klasma.github.io/Logging_1496/artfynd/A 43003-2024 artfynd.xlsx", "A 43003-2024")</f>
        <v/>
      </c>
      <c r="T299">
        <f>HYPERLINK("https://klasma.github.io/Logging_1496/kartor/A 43003-2024 karta.png", "A 43003-2024")</f>
        <v/>
      </c>
      <c r="V299">
        <f>HYPERLINK("https://klasma.github.io/Logging_1496/klagomål/A 43003-2024 FSC-klagomål.docx", "A 43003-2024")</f>
        <v/>
      </c>
      <c r="W299">
        <f>HYPERLINK("https://klasma.github.io/Logging_1496/klagomålsmail/A 43003-2024 FSC-klagomål mail.docx", "A 43003-2024")</f>
        <v/>
      </c>
      <c r="X299">
        <f>HYPERLINK("https://klasma.github.io/Logging_1496/tillsyn/A 43003-2024 tillsynsbegäran.docx", "A 43003-2024")</f>
        <v/>
      </c>
      <c r="Y299">
        <f>HYPERLINK("https://klasma.github.io/Logging_1496/tillsynsmail/A 43003-2024 tillsynsbegäran mail.docx", "A 43003-2024")</f>
        <v/>
      </c>
    </row>
    <row r="300" ht="15" customHeight="1">
      <c r="A300" t="inlineStr">
        <is>
          <t>A 43572-2025</t>
        </is>
      </c>
      <c r="B300" s="1" t="n">
        <v>45911.63658564815</v>
      </c>
      <c r="C300" s="1" t="n">
        <v>46011</v>
      </c>
      <c r="D300" t="inlineStr">
        <is>
          <t>VÄSTRA GÖTALANDS LÄN</t>
        </is>
      </c>
      <c r="E300" t="inlineStr">
        <is>
          <t>MARIESTAD</t>
        </is>
      </c>
      <c r="F300" t="inlineStr">
        <is>
          <t>Sveaskog</t>
        </is>
      </c>
      <c r="G300" t="n">
        <v>9.300000000000001</v>
      </c>
      <c r="H300" t="n">
        <v>0</v>
      </c>
      <c r="I300" t="n">
        <v>2</v>
      </c>
      <c r="J300" t="n">
        <v>0</v>
      </c>
      <c r="K300" t="n">
        <v>0</v>
      </c>
      <c r="L300" t="n">
        <v>0</v>
      </c>
      <c r="M300" t="n">
        <v>0</v>
      </c>
      <c r="N300" t="n">
        <v>0</v>
      </c>
      <c r="O300" t="n">
        <v>0</v>
      </c>
      <c r="P300" t="n">
        <v>0</v>
      </c>
      <c r="Q300" t="n">
        <v>2</v>
      </c>
      <c r="R300" s="2" t="inlineStr">
        <is>
          <t>Springkorn
Svart trolldruva</t>
        </is>
      </c>
      <c r="S300">
        <f>HYPERLINK("https://klasma.github.io/Logging_1493/artfynd/A 43572-2025 artfynd.xlsx", "A 43572-2025")</f>
        <v/>
      </c>
      <c r="T300">
        <f>HYPERLINK("https://klasma.github.io/Logging_1493/kartor/A 43572-2025 karta.png", "A 43572-2025")</f>
        <v/>
      </c>
      <c r="V300">
        <f>HYPERLINK("https://klasma.github.io/Logging_1493/klagomål/A 43572-2025 FSC-klagomål.docx", "A 43572-2025")</f>
        <v/>
      </c>
      <c r="W300">
        <f>HYPERLINK("https://klasma.github.io/Logging_1493/klagomålsmail/A 43572-2025 FSC-klagomål mail.docx", "A 43572-2025")</f>
        <v/>
      </c>
      <c r="X300">
        <f>HYPERLINK("https://klasma.github.io/Logging_1493/tillsyn/A 43572-2025 tillsynsbegäran.docx", "A 43572-2025")</f>
        <v/>
      </c>
      <c r="Y300">
        <f>HYPERLINK("https://klasma.github.io/Logging_1493/tillsynsmail/A 43572-2025 tillsynsbegäran mail.docx", "A 43572-2025")</f>
        <v/>
      </c>
    </row>
    <row r="301" ht="15" customHeight="1">
      <c r="A301" t="inlineStr">
        <is>
          <t>A 30792-2025</t>
        </is>
      </c>
      <c r="B301" s="1" t="n">
        <v>45831.63664351852</v>
      </c>
      <c r="C301" s="1" t="n">
        <v>46011</v>
      </c>
      <c r="D301" t="inlineStr">
        <is>
          <t>VÄSTRA GÖTALANDS LÄN</t>
        </is>
      </c>
      <c r="E301" t="inlineStr">
        <is>
          <t>SVENLJUNGA</t>
        </is>
      </c>
      <c r="G301" t="n">
        <v>6.8</v>
      </c>
      <c r="H301" t="n">
        <v>2</v>
      </c>
      <c r="I301" t="n">
        <v>0</v>
      </c>
      <c r="J301" t="n">
        <v>0</v>
      </c>
      <c r="K301" t="n">
        <v>0</v>
      </c>
      <c r="L301" t="n">
        <v>0</v>
      </c>
      <c r="M301" t="n">
        <v>0</v>
      </c>
      <c r="N301" t="n">
        <v>0</v>
      </c>
      <c r="O301" t="n">
        <v>0</v>
      </c>
      <c r="P301" t="n">
        <v>0</v>
      </c>
      <c r="Q301" t="n">
        <v>2</v>
      </c>
      <c r="R301" s="2" t="inlineStr">
        <is>
          <t>Mattlummer
Revlummer</t>
        </is>
      </c>
      <c r="S301">
        <f>HYPERLINK("https://klasma.github.io/Logging_1465/artfynd/A 30792-2025 artfynd.xlsx", "A 30792-2025")</f>
        <v/>
      </c>
      <c r="T301">
        <f>HYPERLINK("https://klasma.github.io/Logging_1465/kartor/A 30792-2025 karta.png", "A 30792-2025")</f>
        <v/>
      </c>
      <c r="V301">
        <f>HYPERLINK("https://klasma.github.io/Logging_1465/klagomål/A 30792-2025 FSC-klagomål.docx", "A 30792-2025")</f>
        <v/>
      </c>
      <c r="W301">
        <f>HYPERLINK("https://klasma.github.io/Logging_1465/klagomålsmail/A 30792-2025 FSC-klagomål mail.docx", "A 30792-2025")</f>
        <v/>
      </c>
      <c r="X301">
        <f>HYPERLINK("https://klasma.github.io/Logging_1465/tillsyn/A 30792-2025 tillsynsbegäran.docx", "A 30792-2025")</f>
        <v/>
      </c>
      <c r="Y301">
        <f>HYPERLINK("https://klasma.github.io/Logging_1465/tillsynsmail/A 30792-2025 tillsynsbegäran mail.docx", "A 30792-2025")</f>
        <v/>
      </c>
    </row>
    <row r="302" ht="15" customHeight="1">
      <c r="A302" t="inlineStr">
        <is>
          <t>A 47665-2024</t>
        </is>
      </c>
      <c r="B302" s="1" t="n">
        <v>45588.39068287037</v>
      </c>
      <c r="C302" s="1" t="n">
        <v>46011</v>
      </c>
      <c r="D302" t="inlineStr">
        <is>
          <t>VÄSTRA GÖTALANDS LÄN</t>
        </is>
      </c>
      <c r="E302" t="inlineStr">
        <is>
          <t>DALS-ED</t>
        </is>
      </c>
      <c r="G302" t="n">
        <v>6</v>
      </c>
      <c r="H302" t="n">
        <v>2</v>
      </c>
      <c r="I302" t="n">
        <v>0</v>
      </c>
      <c r="J302" t="n">
        <v>2</v>
      </c>
      <c r="K302" t="n">
        <v>0</v>
      </c>
      <c r="L302" t="n">
        <v>0</v>
      </c>
      <c r="M302" t="n">
        <v>0</v>
      </c>
      <c r="N302" t="n">
        <v>0</v>
      </c>
      <c r="O302" t="n">
        <v>2</v>
      </c>
      <c r="P302" t="n">
        <v>0</v>
      </c>
      <c r="Q302" t="n">
        <v>2</v>
      </c>
      <c r="R302" s="2" t="inlineStr">
        <is>
          <t>Spillkråka
Tretåig hackspett</t>
        </is>
      </c>
      <c r="S302">
        <f>HYPERLINK("https://klasma.github.io/Logging_1438/artfynd/A 47665-2024 artfynd.xlsx", "A 47665-2024")</f>
        <v/>
      </c>
      <c r="T302">
        <f>HYPERLINK("https://klasma.github.io/Logging_1438/kartor/A 47665-2024 karta.png", "A 47665-2024")</f>
        <v/>
      </c>
      <c r="V302">
        <f>HYPERLINK("https://klasma.github.io/Logging_1438/klagomål/A 47665-2024 FSC-klagomål.docx", "A 47665-2024")</f>
        <v/>
      </c>
      <c r="W302">
        <f>HYPERLINK("https://klasma.github.io/Logging_1438/klagomålsmail/A 47665-2024 FSC-klagomål mail.docx", "A 47665-2024")</f>
        <v/>
      </c>
      <c r="X302">
        <f>HYPERLINK("https://klasma.github.io/Logging_1438/tillsyn/A 47665-2024 tillsynsbegäran.docx", "A 47665-2024")</f>
        <v/>
      </c>
      <c r="Y302">
        <f>HYPERLINK("https://klasma.github.io/Logging_1438/tillsynsmail/A 47665-2024 tillsynsbegäran mail.docx", "A 47665-2024")</f>
        <v/>
      </c>
      <c r="Z302">
        <f>HYPERLINK("https://klasma.github.io/Logging_1438/fåglar/A 47665-2024 prioriterade fågelarter.docx", "A 47665-2024")</f>
        <v/>
      </c>
    </row>
    <row r="303" ht="15" customHeight="1">
      <c r="A303" t="inlineStr">
        <is>
          <t>A 32541-2025</t>
        </is>
      </c>
      <c r="B303" s="1" t="n">
        <v>45838.50899305556</v>
      </c>
      <c r="C303" s="1" t="n">
        <v>46011</v>
      </c>
      <c r="D303" t="inlineStr">
        <is>
          <t>VÄSTRA GÖTALANDS LÄN</t>
        </is>
      </c>
      <c r="E303" t="inlineStr">
        <is>
          <t>BORÅS</t>
        </is>
      </c>
      <c r="G303" t="n">
        <v>8.1</v>
      </c>
      <c r="H303" t="n">
        <v>2</v>
      </c>
      <c r="I303" t="n">
        <v>0</v>
      </c>
      <c r="J303" t="n">
        <v>1</v>
      </c>
      <c r="K303" t="n">
        <v>0</v>
      </c>
      <c r="L303" t="n">
        <v>0</v>
      </c>
      <c r="M303" t="n">
        <v>0</v>
      </c>
      <c r="N303" t="n">
        <v>0</v>
      </c>
      <c r="O303" t="n">
        <v>1</v>
      </c>
      <c r="P303" t="n">
        <v>0</v>
      </c>
      <c r="Q303" t="n">
        <v>2</v>
      </c>
      <c r="R303" s="2" t="inlineStr">
        <is>
          <t>Spillkråka
Grönvit nattviol</t>
        </is>
      </c>
      <c r="S303">
        <f>HYPERLINK("https://klasma.github.io/Logging_1490/artfynd/A 32541-2025 artfynd.xlsx", "A 32541-2025")</f>
        <v/>
      </c>
      <c r="T303">
        <f>HYPERLINK("https://klasma.github.io/Logging_1490/kartor/A 32541-2025 karta.png", "A 32541-2025")</f>
        <v/>
      </c>
      <c r="V303">
        <f>HYPERLINK("https://klasma.github.io/Logging_1490/klagomål/A 32541-2025 FSC-klagomål.docx", "A 32541-2025")</f>
        <v/>
      </c>
      <c r="W303">
        <f>HYPERLINK("https://klasma.github.io/Logging_1490/klagomålsmail/A 32541-2025 FSC-klagomål mail.docx", "A 32541-2025")</f>
        <v/>
      </c>
      <c r="X303">
        <f>HYPERLINK("https://klasma.github.io/Logging_1490/tillsyn/A 32541-2025 tillsynsbegäran.docx", "A 32541-2025")</f>
        <v/>
      </c>
      <c r="Y303">
        <f>HYPERLINK("https://klasma.github.io/Logging_1490/tillsynsmail/A 32541-2025 tillsynsbegäran mail.docx", "A 32541-2025")</f>
        <v/>
      </c>
      <c r="Z303">
        <f>HYPERLINK("https://klasma.github.io/Logging_1490/fåglar/A 32541-2025 prioriterade fågelarter.docx", "A 32541-2025")</f>
        <v/>
      </c>
    </row>
    <row r="304" ht="15" customHeight="1">
      <c r="A304" t="inlineStr">
        <is>
          <t>A 48345-2021</t>
        </is>
      </c>
      <c r="B304" s="1" t="n">
        <v>44451</v>
      </c>
      <c r="C304" s="1" t="n">
        <v>46011</v>
      </c>
      <c r="D304" t="inlineStr">
        <is>
          <t>VÄSTRA GÖTALANDS LÄN</t>
        </is>
      </c>
      <c r="E304" t="inlineStr">
        <is>
          <t>KUNGÄLV</t>
        </is>
      </c>
      <c r="G304" t="n">
        <v>3</v>
      </c>
      <c r="H304" t="n">
        <v>1</v>
      </c>
      <c r="I304" t="n">
        <v>1</v>
      </c>
      <c r="J304" t="n">
        <v>1</v>
      </c>
      <c r="K304" t="n">
        <v>0</v>
      </c>
      <c r="L304" t="n">
        <v>0</v>
      </c>
      <c r="M304" t="n">
        <v>0</v>
      </c>
      <c r="N304" t="n">
        <v>0</v>
      </c>
      <c r="O304" t="n">
        <v>1</v>
      </c>
      <c r="P304" t="n">
        <v>0</v>
      </c>
      <c r="Q304" t="n">
        <v>2</v>
      </c>
      <c r="R304" s="2" t="inlineStr">
        <is>
          <t>Spillkråka
Blåmossa</t>
        </is>
      </c>
      <c r="S304">
        <f>HYPERLINK("https://klasma.github.io/Logging_1482/artfynd/A 48345-2021 artfynd.xlsx", "A 48345-2021")</f>
        <v/>
      </c>
      <c r="T304">
        <f>HYPERLINK("https://klasma.github.io/Logging_1482/kartor/A 48345-2021 karta.png", "A 48345-2021")</f>
        <v/>
      </c>
      <c r="V304">
        <f>HYPERLINK("https://klasma.github.io/Logging_1482/klagomål/A 48345-2021 FSC-klagomål.docx", "A 48345-2021")</f>
        <v/>
      </c>
      <c r="W304">
        <f>HYPERLINK("https://klasma.github.io/Logging_1482/klagomålsmail/A 48345-2021 FSC-klagomål mail.docx", "A 48345-2021")</f>
        <v/>
      </c>
      <c r="X304">
        <f>HYPERLINK("https://klasma.github.io/Logging_1482/tillsyn/A 48345-2021 tillsynsbegäran.docx", "A 48345-2021")</f>
        <v/>
      </c>
      <c r="Y304">
        <f>HYPERLINK("https://klasma.github.io/Logging_1482/tillsynsmail/A 48345-2021 tillsynsbegäran mail.docx", "A 48345-2021")</f>
        <v/>
      </c>
      <c r="Z304">
        <f>HYPERLINK("https://klasma.github.io/Logging_1482/fåglar/A 48345-2021 prioriterade fågelarter.docx", "A 48345-2021")</f>
        <v/>
      </c>
    </row>
    <row r="305" ht="15" customHeight="1">
      <c r="A305" t="inlineStr">
        <is>
          <t>A 46044-2025</t>
        </is>
      </c>
      <c r="B305" s="1" t="n">
        <v>45924.45489583333</v>
      </c>
      <c r="C305" s="1" t="n">
        <v>46011</v>
      </c>
      <c r="D305" t="inlineStr">
        <is>
          <t>VÄSTRA GÖTALANDS LÄN</t>
        </is>
      </c>
      <c r="E305" t="inlineStr">
        <is>
          <t>HÄRRYDA</t>
        </is>
      </c>
      <c r="G305" t="n">
        <v>2.7</v>
      </c>
      <c r="H305" t="n">
        <v>0</v>
      </c>
      <c r="I305" t="n">
        <v>2</v>
      </c>
      <c r="J305" t="n">
        <v>0</v>
      </c>
      <c r="K305" t="n">
        <v>0</v>
      </c>
      <c r="L305" t="n">
        <v>0</v>
      </c>
      <c r="M305" t="n">
        <v>0</v>
      </c>
      <c r="N305" t="n">
        <v>0</v>
      </c>
      <c r="O305" t="n">
        <v>0</v>
      </c>
      <c r="P305" t="n">
        <v>0</v>
      </c>
      <c r="Q305" t="n">
        <v>2</v>
      </c>
      <c r="R305" s="2" t="inlineStr">
        <is>
          <t>Fjällig taggsvamp s.str.
Mandelriska</t>
        </is>
      </c>
      <c r="S305">
        <f>HYPERLINK("https://klasma.github.io/Logging_1401/artfynd/A 46044-2025 artfynd.xlsx", "A 46044-2025")</f>
        <v/>
      </c>
      <c r="T305">
        <f>HYPERLINK("https://klasma.github.io/Logging_1401/kartor/A 46044-2025 karta.png", "A 46044-2025")</f>
        <v/>
      </c>
      <c r="V305">
        <f>HYPERLINK("https://klasma.github.io/Logging_1401/klagomål/A 46044-2025 FSC-klagomål.docx", "A 46044-2025")</f>
        <v/>
      </c>
      <c r="W305">
        <f>HYPERLINK("https://klasma.github.io/Logging_1401/klagomålsmail/A 46044-2025 FSC-klagomål mail.docx", "A 46044-2025")</f>
        <v/>
      </c>
      <c r="X305">
        <f>HYPERLINK("https://klasma.github.io/Logging_1401/tillsyn/A 46044-2025 tillsynsbegäran.docx", "A 46044-2025")</f>
        <v/>
      </c>
      <c r="Y305">
        <f>HYPERLINK("https://klasma.github.io/Logging_1401/tillsynsmail/A 46044-2025 tillsynsbegäran mail.docx", "A 46044-2025")</f>
        <v/>
      </c>
    </row>
    <row r="306" ht="15" customHeight="1">
      <c r="A306" t="inlineStr">
        <is>
          <t>A 13936-2023</t>
        </is>
      </c>
      <c r="B306" s="1" t="n">
        <v>45008</v>
      </c>
      <c r="C306" s="1" t="n">
        <v>46011</v>
      </c>
      <c r="D306" t="inlineStr">
        <is>
          <t>VÄSTRA GÖTALANDS LÄN</t>
        </is>
      </c>
      <c r="E306" t="inlineStr">
        <is>
          <t>TANUM</t>
        </is>
      </c>
      <c r="G306" t="n">
        <v>3.5</v>
      </c>
      <c r="H306" t="n">
        <v>1</v>
      </c>
      <c r="I306" t="n">
        <v>0</v>
      </c>
      <c r="J306" t="n">
        <v>2</v>
      </c>
      <c r="K306" t="n">
        <v>0</v>
      </c>
      <c r="L306" t="n">
        <v>0</v>
      </c>
      <c r="M306" t="n">
        <v>0</v>
      </c>
      <c r="N306" t="n">
        <v>0</v>
      </c>
      <c r="O306" t="n">
        <v>2</v>
      </c>
      <c r="P306" t="n">
        <v>0</v>
      </c>
      <c r="Q306" t="n">
        <v>2</v>
      </c>
      <c r="R306" s="2" t="inlineStr">
        <is>
          <t>Skrovellav
Spillkråka</t>
        </is>
      </c>
      <c r="S306">
        <f>HYPERLINK("https://klasma.github.io/Logging_1435/artfynd/A 13936-2023 artfynd.xlsx", "A 13936-2023")</f>
        <v/>
      </c>
      <c r="T306">
        <f>HYPERLINK("https://klasma.github.io/Logging_1435/kartor/A 13936-2023 karta.png", "A 13936-2023")</f>
        <v/>
      </c>
      <c r="V306">
        <f>HYPERLINK("https://klasma.github.io/Logging_1435/klagomål/A 13936-2023 FSC-klagomål.docx", "A 13936-2023")</f>
        <v/>
      </c>
      <c r="W306">
        <f>HYPERLINK("https://klasma.github.io/Logging_1435/klagomålsmail/A 13936-2023 FSC-klagomål mail.docx", "A 13936-2023")</f>
        <v/>
      </c>
      <c r="X306">
        <f>HYPERLINK("https://klasma.github.io/Logging_1435/tillsyn/A 13936-2023 tillsynsbegäran.docx", "A 13936-2023")</f>
        <v/>
      </c>
      <c r="Y306">
        <f>HYPERLINK("https://klasma.github.io/Logging_1435/tillsynsmail/A 13936-2023 tillsynsbegäran mail.docx", "A 13936-2023")</f>
        <v/>
      </c>
      <c r="Z306">
        <f>HYPERLINK("https://klasma.github.io/Logging_1435/fåglar/A 13936-2023 prioriterade fågelarter.docx", "A 13936-2023")</f>
        <v/>
      </c>
    </row>
    <row r="307" ht="15" customHeight="1">
      <c r="A307" t="inlineStr">
        <is>
          <t>A 46300-2025</t>
        </is>
      </c>
      <c r="B307" s="1" t="n">
        <v>45925.41516203704</v>
      </c>
      <c r="C307" s="1" t="n">
        <v>46011</v>
      </c>
      <c r="D307" t="inlineStr">
        <is>
          <t>VÄSTRA GÖTALANDS LÄN</t>
        </is>
      </c>
      <c r="E307" t="inlineStr">
        <is>
          <t>ULRICEHAMN</t>
        </is>
      </c>
      <c r="F307" t="inlineStr">
        <is>
          <t>Sveaskog</t>
        </is>
      </c>
      <c r="G307" t="n">
        <v>13.4</v>
      </c>
      <c r="H307" t="n">
        <v>2</v>
      </c>
      <c r="I307" t="n">
        <v>0</v>
      </c>
      <c r="J307" t="n">
        <v>0</v>
      </c>
      <c r="K307" t="n">
        <v>0</v>
      </c>
      <c r="L307" t="n">
        <v>0</v>
      </c>
      <c r="M307" t="n">
        <v>0</v>
      </c>
      <c r="N307" t="n">
        <v>0</v>
      </c>
      <c r="O307" t="n">
        <v>0</v>
      </c>
      <c r="P307" t="n">
        <v>0</v>
      </c>
      <c r="Q307" t="n">
        <v>2</v>
      </c>
      <c r="R307" s="2" t="inlineStr">
        <is>
          <t>Röd glada
Revlummer</t>
        </is>
      </c>
      <c r="S307">
        <f>HYPERLINK("https://klasma.github.io/Logging_1491/artfynd/A 46300-2025 artfynd.xlsx", "A 46300-2025")</f>
        <v/>
      </c>
      <c r="T307">
        <f>HYPERLINK("https://klasma.github.io/Logging_1491/kartor/A 46300-2025 karta.png", "A 46300-2025")</f>
        <v/>
      </c>
      <c r="V307">
        <f>HYPERLINK("https://klasma.github.io/Logging_1491/klagomål/A 46300-2025 FSC-klagomål.docx", "A 46300-2025")</f>
        <v/>
      </c>
      <c r="W307">
        <f>HYPERLINK("https://klasma.github.io/Logging_1491/klagomålsmail/A 46300-2025 FSC-klagomål mail.docx", "A 46300-2025")</f>
        <v/>
      </c>
      <c r="X307">
        <f>HYPERLINK("https://klasma.github.io/Logging_1491/tillsyn/A 46300-2025 tillsynsbegäran.docx", "A 46300-2025")</f>
        <v/>
      </c>
      <c r="Y307">
        <f>HYPERLINK("https://klasma.github.io/Logging_1491/tillsynsmail/A 46300-2025 tillsynsbegäran mail.docx", "A 46300-2025")</f>
        <v/>
      </c>
      <c r="Z307">
        <f>HYPERLINK("https://klasma.github.io/Logging_1491/fåglar/A 46300-2025 prioriterade fågelarter.docx", "A 46300-2025")</f>
        <v/>
      </c>
    </row>
    <row r="308" ht="15" customHeight="1">
      <c r="A308" t="inlineStr">
        <is>
          <t>A 2389-2024</t>
        </is>
      </c>
      <c r="B308" s="1" t="n">
        <v>45310</v>
      </c>
      <c r="C308" s="1" t="n">
        <v>46011</v>
      </c>
      <c r="D308" t="inlineStr">
        <is>
          <t>VÄSTRA GÖTALANDS LÄN</t>
        </is>
      </c>
      <c r="E308" t="inlineStr">
        <is>
          <t>TIDAHOLM</t>
        </is>
      </c>
      <c r="G308" t="n">
        <v>18.2</v>
      </c>
      <c r="H308" t="n">
        <v>2</v>
      </c>
      <c r="I308" t="n">
        <v>1</v>
      </c>
      <c r="J308" t="n">
        <v>0</v>
      </c>
      <c r="K308" t="n">
        <v>0</v>
      </c>
      <c r="L308" t="n">
        <v>0</v>
      </c>
      <c r="M308" t="n">
        <v>0</v>
      </c>
      <c r="N308" t="n">
        <v>0</v>
      </c>
      <c r="O308" t="n">
        <v>0</v>
      </c>
      <c r="P308" t="n">
        <v>0</v>
      </c>
      <c r="Q308" t="n">
        <v>2</v>
      </c>
      <c r="R308" s="2" t="inlineStr">
        <is>
          <t>Grön sköldmossa
Revlummer</t>
        </is>
      </c>
      <c r="S308">
        <f>HYPERLINK("https://klasma.github.io/Logging_1498/artfynd/A 2389-2024 artfynd.xlsx", "A 2389-2024")</f>
        <v/>
      </c>
      <c r="T308">
        <f>HYPERLINK("https://klasma.github.io/Logging_1498/kartor/A 2389-2024 karta.png", "A 2389-2024")</f>
        <v/>
      </c>
      <c r="V308">
        <f>HYPERLINK("https://klasma.github.io/Logging_1498/klagomål/A 2389-2024 FSC-klagomål.docx", "A 2389-2024")</f>
        <v/>
      </c>
      <c r="W308">
        <f>HYPERLINK("https://klasma.github.io/Logging_1498/klagomålsmail/A 2389-2024 FSC-klagomål mail.docx", "A 2389-2024")</f>
        <v/>
      </c>
      <c r="X308">
        <f>HYPERLINK("https://klasma.github.io/Logging_1498/tillsyn/A 2389-2024 tillsynsbegäran.docx", "A 2389-2024")</f>
        <v/>
      </c>
      <c r="Y308">
        <f>HYPERLINK("https://klasma.github.io/Logging_1498/tillsynsmail/A 2389-2024 tillsynsbegäran mail.docx", "A 2389-2024")</f>
        <v/>
      </c>
    </row>
    <row r="309" ht="15" customHeight="1">
      <c r="A309" t="inlineStr">
        <is>
          <t>A 19281-2025</t>
        </is>
      </c>
      <c r="B309" s="1" t="n">
        <v>45769.54100694445</v>
      </c>
      <c r="C309" s="1" t="n">
        <v>46011</v>
      </c>
      <c r="D309" t="inlineStr">
        <is>
          <t>VÄSTRA GÖTALANDS LÄN</t>
        </is>
      </c>
      <c r="E309" t="inlineStr">
        <is>
          <t>MELLERUD</t>
        </is>
      </c>
      <c r="G309" t="n">
        <v>1.6</v>
      </c>
      <c r="H309" t="n">
        <v>1</v>
      </c>
      <c r="I309" t="n">
        <v>1</v>
      </c>
      <c r="J309" t="n">
        <v>1</v>
      </c>
      <c r="K309" t="n">
        <v>0</v>
      </c>
      <c r="L309" t="n">
        <v>0</v>
      </c>
      <c r="M309" t="n">
        <v>0</v>
      </c>
      <c r="N309" t="n">
        <v>0</v>
      </c>
      <c r="O309" t="n">
        <v>1</v>
      </c>
      <c r="P309" t="n">
        <v>0</v>
      </c>
      <c r="Q309" t="n">
        <v>2</v>
      </c>
      <c r="R309" s="2" t="inlineStr">
        <is>
          <t>Skogsklocka
Skogsknipprot</t>
        </is>
      </c>
      <c r="S309">
        <f>HYPERLINK("https://klasma.github.io/Logging_1461/artfynd/A 19281-2025 artfynd.xlsx", "A 19281-2025")</f>
        <v/>
      </c>
      <c r="T309">
        <f>HYPERLINK("https://klasma.github.io/Logging_1461/kartor/A 19281-2025 karta.png", "A 19281-2025")</f>
        <v/>
      </c>
      <c r="V309">
        <f>HYPERLINK("https://klasma.github.io/Logging_1461/klagomål/A 19281-2025 FSC-klagomål.docx", "A 19281-2025")</f>
        <v/>
      </c>
      <c r="W309">
        <f>HYPERLINK("https://klasma.github.io/Logging_1461/klagomålsmail/A 19281-2025 FSC-klagomål mail.docx", "A 19281-2025")</f>
        <v/>
      </c>
      <c r="X309">
        <f>HYPERLINK("https://klasma.github.io/Logging_1461/tillsyn/A 19281-2025 tillsynsbegäran.docx", "A 19281-2025")</f>
        <v/>
      </c>
      <c r="Y309">
        <f>HYPERLINK("https://klasma.github.io/Logging_1461/tillsynsmail/A 19281-2025 tillsynsbegäran mail.docx", "A 19281-2025")</f>
        <v/>
      </c>
    </row>
    <row r="310" ht="15" customHeight="1">
      <c r="A310" t="inlineStr">
        <is>
          <t>A 63804-2023</t>
        </is>
      </c>
      <c r="B310" s="1" t="n">
        <v>45278</v>
      </c>
      <c r="C310" s="1" t="n">
        <v>46011</v>
      </c>
      <c r="D310" t="inlineStr">
        <is>
          <t>VÄSTRA GÖTALANDS LÄN</t>
        </is>
      </c>
      <c r="E310" t="inlineStr">
        <is>
          <t>ÅMÅL</t>
        </is>
      </c>
      <c r="F310" t="inlineStr">
        <is>
          <t>Kommuner</t>
        </is>
      </c>
      <c r="G310" t="n">
        <v>0.8</v>
      </c>
      <c r="H310" t="n">
        <v>0</v>
      </c>
      <c r="I310" t="n">
        <v>0</v>
      </c>
      <c r="J310" t="n">
        <v>1</v>
      </c>
      <c r="K310" t="n">
        <v>1</v>
      </c>
      <c r="L310" t="n">
        <v>0</v>
      </c>
      <c r="M310" t="n">
        <v>0</v>
      </c>
      <c r="N310" t="n">
        <v>0</v>
      </c>
      <c r="O310" t="n">
        <v>2</v>
      </c>
      <c r="P310" t="n">
        <v>1</v>
      </c>
      <c r="Q310" t="n">
        <v>2</v>
      </c>
      <c r="R310" s="2" t="inlineStr">
        <is>
          <t>Slåttergubbe
Svinrot</t>
        </is>
      </c>
      <c r="S310">
        <f>HYPERLINK("https://klasma.github.io/Logging_1492/artfynd/A 63804-2023 artfynd.xlsx", "A 63804-2023")</f>
        <v/>
      </c>
      <c r="T310">
        <f>HYPERLINK("https://klasma.github.io/Logging_1492/kartor/A 63804-2023 karta.png", "A 63804-2023")</f>
        <v/>
      </c>
      <c r="V310">
        <f>HYPERLINK("https://klasma.github.io/Logging_1492/klagomål/A 63804-2023 FSC-klagomål.docx", "A 63804-2023")</f>
        <v/>
      </c>
      <c r="W310">
        <f>HYPERLINK("https://klasma.github.io/Logging_1492/klagomålsmail/A 63804-2023 FSC-klagomål mail.docx", "A 63804-2023")</f>
        <v/>
      </c>
      <c r="X310">
        <f>HYPERLINK("https://klasma.github.io/Logging_1492/tillsyn/A 63804-2023 tillsynsbegäran.docx", "A 63804-2023")</f>
        <v/>
      </c>
      <c r="Y310">
        <f>HYPERLINK("https://klasma.github.io/Logging_1492/tillsynsmail/A 63804-2023 tillsynsbegäran mail.docx", "A 63804-2023")</f>
        <v/>
      </c>
    </row>
    <row r="311" ht="15" customHeight="1">
      <c r="A311" t="inlineStr">
        <is>
          <t>A 28676-2022</t>
        </is>
      </c>
      <c r="B311" s="1" t="n">
        <v>44748</v>
      </c>
      <c r="C311" s="1" t="n">
        <v>46011</v>
      </c>
      <c r="D311" t="inlineStr">
        <is>
          <t>VÄSTRA GÖTALANDS LÄN</t>
        </is>
      </c>
      <c r="E311" t="inlineStr">
        <is>
          <t>FALKÖPING</t>
        </is>
      </c>
      <c r="G311" t="n">
        <v>1.4</v>
      </c>
      <c r="H311" t="n">
        <v>1</v>
      </c>
      <c r="I311" t="n">
        <v>1</v>
      </c>
      <c r="J311" t="n">
        <v>0</v>
      </c>
      <c r="K311" t="n">
        <v>0</v>
      </c>
      <c r="L311" t="n">
        <v>0</v>
      </c>
      <c r="M311" t="n">
        <v>0</v>
      </c>
      <c r="N311" t="n">
        <v>0</v>
      </c>
      <c r="O311" t="n">
        <v>0</v>
      </c>
      <c r="P311" t="n">
        <v>0</v>
      </c>
      <c r="Q311" t="n">
        <v>2</v>
      </c>
      <c r="R311" s="2" t="inlineStr">
        <is>
          <t>Myskmadra
Blåsippa</t>
        </is>
      </c>
      <c r="S311">
        <f>HYPERLINK("https://klasma.github.io/Logging_1499/artfynd/A 28676-2022 artfynd.xlsx", "A 28676-2022")</f>
        <v/>
      </c>
      <c r="T311">
        <f>HYPERLINK("https://klasma.github.io/Logging_1499/kartor/A 28676-2022 karta.png", "A 28676-2022")</f>
        <v/>
      </c>
      <c r="V311">
        <f>HYPERLINK("https://klasma.github.io/Logging_1499/klagomål/A 28676-2022 FSC-klagomål.docx", "A 28676-2022")</f>
        <v/>
      </c>
      <c r="W311">
        <f>HYPERLINK("https://klasma.github.io/Logging_1499/klagomålsmail/A 28676-2022 FSC-klagomål mail.docx", "A 28676-2022")</f>
        <v/>
      </c>
      <c r="X311">
        <f>HYPERLINK("https://klasma.github.io/Logging_1499/tillsyn/A 28676-2022 tillsynsbegäran.docx", "A 28676-2022")</f>
        <v/>
      </c>
      <c r="Y311">
        <f>HYPERLINK("https://klasma.github.io/Logging_1499/tillsynsmail/A 28676-2022 tillsynsbegäran mail.docx", "A 28676-2022")</f>
        <v/>
      </c>
    </row>
    <row r="312" ht="15" customHeight="1">
      <c r="A312" t="inlineStr">
        <is>
          <t>A 2586-2024</t>
        </is>
      </c>
      <c r="B312" s="1" t="n">
        <v>45313</v>
      </c>
      <c r="C312" s="1" t="n">
        <v>46011</v>
      </c>
      <c r="D312" t="inlineStr">
        <is>
          <t>VÄSTRA GÖTALANDS LÄN</t>
        </is>
      </c>
      <c r="E312" t="inlineStr">
        <is>
          <t>MUNKEDAL</t>
        </is>
      </c>
      <c r="G312" t="n">
        <v>5.5</v>
      </c>
      <c r="H312" t="n">
        <v>1</v>
      </c>
      <c r="I312" t="n">
        <v>1</v>
      </c>
      <c r="J312" t="n">
        <v>0</v>
      </c>
      <c r="K312" t="n">
        <v>0</v>
      </c>
      <c r="L312" t="n">
        <v>0</v>
      </c>
      <c r="M312" t="n">
        <v>0</v>
      </c>
      <c r="N312" t="n">
        <v>0</v>
      </c>
      <c r="O312" t="n">
        <v>0</v>
      </c>
      <c r="P312" t="n">
        <v>0</v>
      </c>
      <c r="Q312" t="n">
        <v>2</v>
      </c>
      <c r="R312" s="2" t="inlineStr">
        <is>
          <t>Rävticka
Vanlig groda</t>
        </is>
      </c>
      <c r="S312">
        <f>HYPERLINK("https://klasma.github.io/Logging_1430/artfynd/A 2586-2024 artfynd.xlsx", "A 2586-2024")</f>
        <v/>
      </c>
      <c r="T312">
        <f>HYPERLINK("https://klasma.github.io/Logging_1430/kartor/A 2586-2024 karta.png", "A 2586-2024")</f>
        <v/>
      </c>
      <c r="V312">
        <f>HYPERLINK("https://klasma.github.io/Logging_1430/klagomål/A 2586-2024 FSC-klagomål.docx", "A 2586-2024")</f>
        <v/>
      </c>
      <c r="W312">
        <f>HYPERLINK("https://klasma.github.io/Logging_1430/klagomålsmail/A 2586-2024 FSC-klagomål mail.docx", "A 2586-2024")</f>
        <v/>
      </c>
      <c r="X312">
        <f>HYPERLINK("https://klasma.github.io/Logging_1430/tillsyn/A 2586-2024 tillsynsbegäran.docx", "A 2586-2024")</f>
        <v/>
      </c>
      <c r="Y312">
        <f>HYPERLINK("https://klasma.github.io/Logging_1430/tillsynsmail/A 2586-2024 tillsynsbegäran mail.docx", "A 2586-2024")</f>
        <v/>
      </c>
    </row>
    <row r="313" ht="15" customHeight="1">
      <c r="A313" t="inlineStr">
        <is>
          <t>A 18778-2025</t>
        </is>
      </c>
      <c r="B313" s="1" t="n">
        <v>45763</v>
      </c>
      <c r="C313" s="1" t="n">
        <v>46011</v>
      </c>
      <c r="D313" t="inlineStr">
        <is>
          <t>VÄSTRA GÖTALANDS LÄN</t>
        </is>
      </c>
      <c r="E313" t="inlineStr">
        <is>
          <t>GULLSPÅNG</t>
        </is>
      </c>
      <c r="G313" t="n">
        <v>1.7</v>
      </c>
      <c r="H313" t="n">
        <v>0</v>
      </c>
      <c r="I313" t="n">
        <v>1</v>
      </c>
      <c r="J313" t="n">
        <v>0</v>
      </c>
      <c r="K313" t="n">
        <v>1</v>
      </c>
      <c r="L313" t="n">
        <v>0</v>
      </c>
      <c r="M313" t="n">
        <v>0</v>
      </c>
      <c r="N313" t="n">
        <v>0</v>
      </c>
      <c r="O313" t="n">
        <v>1</v>
      </c>
      <c r="P313" t="n">
        <v>1</v>
      </c>
      <c r="Q313" t="n">
        <v>2</v>
      </c>
      <c r="R313" s="2" t="inlineStr">
        <is>
          <t>Taggfingersvamp
Tjockfotad fingersvamp</t>
        </is>
      </c>
      <c r="S313">
        <f>HYPERLINK("https://klasma.github.io/Logging_1447/artfynd/A 18778-2025 artfynd.xlsx", "A 18778-2025")</f>
        <v/>
      </c>
      <c r="T313">
        <f>HYPERLINK("https://klasma.github.io/Logging_1447/kartor/A 18778-2025 karta.png", "A 18778-2025")</f>
        <v/>
      </c>
      <c r="V313">
        <f>HYPERLINK("https://klasma.github.io/Logging_1447/klagomål/A 18778-2025 FSC-klagomål.docx", "A 18778-2025")</f>
        <v/>
      </c>
      <c r="W313">
        <f>HYPERLINK("https://klasma.github.io/Logging_1447/klagomålsmail/A 18778-2025 FSC-klagomål mail.docx", "A 18778-2025")</f>
        <v/>
      </c>
      <c r="X313">
        <f>HYPERLINK("https://klasma.github.io/Logging_1447/tillsyn/A 18778-2025 tillsynsbegäran.docx", "A 18778-2025")</f>
        <v/>
      </c>
      <c r="Y313">
        <f>HYPERLINK("https://klasma.github.io/Logging_1447/tillsynsmail/A 18778-2025 tillsynsbegäran mail.docx", "A 18778-2025")</f>
        <v/>
      </c>
    </row>
    <row r="314" ht="15" customHeight="1">
      <c r="A314" t="inlineStr">
        <is>
          <t>A 59406-2024</t>
        </is>
      </c>
      <c r="B314" s="1" t="n">
        <v>45638.38912037037</v>
      </c>
      <c r="C314" s="1" t="n">
        <v>46011</v>
      </c>
      <c r="D314" t="inlineStr">
        <is>
          <t>VÄSTRA GÖTALANDS LÄN</t>
        </is>
      </c>
      <c r="E314" t="inlineStr">
        <is>
          <t>STRÖMSTAD</t>
        </is>
      </c>
      <c r="F314" t="inlineStr">
        <is>
          <t>Kommuner</t>
        </is>
      </c>
      <c r="G314" t="n">
        <v>11.9</v>
      </c>
      <c r="H314" t="n">
        <v>2</v>
      </c>
      <c r="I314" t="n">
        <v>0</v>
      </c>
      <c r="J314" t="n">
        <v>0</v>
      </c>
      <c r="K314" t="n">
        <v>2</v>
      </c>
      <c r="L314" t="n">
        <v>0</v>
      </c>
      <c r="M314" t="n">
        <v>0</v>
      </c>
      <c r="N314" t="n">
        <v>0</v>
      </c>
      <c r="O314" t="n">
        <v>2</v>
      </c>
      <c r="P314" t="n">
        <v>2</v>
      </c>
      <c r="Q314" t="n">
        <v>2</v>
      </c>
      <c r="R314" s="2" t="inlineStr">
        <is>
          <t>Hasselsnok
Sandödla</t>
        </is>
      </c>
      <c r="S314">
        <f>HYPERLINK("https://klasma.github.io/Logging_1486/artfynd/A 59406-2024 artfynd.xlsx", "A 59406-2024")</f>
        <v/>
      </c>
      <c r="T314">
        <f>HYPERLINK("https://klasma.github.io/Logging_1486/kartor/A 59406-2024 karta.png", "A 59406-2024")</f>
        <v/>
      </c>
      <c r="V314">
        <f>HYPERLINK("https://klasma.github.io/Logging_1486/klagomål/A 59406-2024 FSC-klagomål.docx", "A 59406-2024")</f>
        <v/>
      </c>
      <c r="W314">
        <f>HYPERLINK("https://klasma.github.io/Logging_1486/klagomålsmail/A 59406-2024 FSC-klagomål mail.docx", "A 59406-2024")</f>
        <v/>
      </c>
      <c r="X314">
        <f>HYPERLINK("https://klasma.github.io/Logging_1486/tillsyn/A 59406-2024 tillsynsbegäran.docx", "A 59406-2024")</f>
        <v/>
      </c>
      <c r="Y314">
        <f>HYPERLINK("https://klasma.github.io/Logging_1486/tillsynsmail/A 59406-2024 tillsynsbegäran mail.docx", "A 59406-2024")</f>
        <v/>
      </c>
    </row>
    <row r="315" ht="15" customHeight="1">
      <c r="A315" t="inlineStr">
        <is>
          <t>A 16534-2025</t>
        </is>
      </c>
      <c r="B315" s="1" t="n">
        <v>45751.65315972222</v>
      </c>
      <c r="C315" s="1" t="n">
        <v>46011</v>
      </c>
      <c r="D315" t="inlineStr">
        <is>
          <t>VÄSTRA GÖTALANDS LÄN</t>
        </is>
      </c>
      <c r="E315" t="inlineStr">
        <is>
          <t>ALE</t>
        </is>
      </c>
      <c r="G315" t="n">
        <v>1.5</v>
      </c>
      <c r="H315" t="n">
        <v>1</v>
      </c>
      <c r="I315" t="n">
        <v>1</v>
      </c>
      <c r="J315" t="n">
        <v>1</v>
      </c>
      <c r="K315" t="n">
        <v>0</v>
      </c>
      <c r="L315" t="n">
        <v>0</v>
      </c>
      <c r="M315" t="n">
        <v>0</v>
      </c>
      <c r="N315" t="n">
        <v>0</v>
      </c>
      <c r="O315" t="n">
        <v>1</v>
      </c>
      <c r="P315" t="n">
        <v>0</v>
      </c>
      <c r="Q315" t="n">
        <v>2</v>
      </c>
      <c r="R315" s="2" t="inlineStr">
        <is>
          <t>Entita
Västlig hakmossa</t>
        </is>
      </c>
      <c r="S315">
        <f>HYPERLINK("https://klasma.github.io/Logging_1440/artfynd/A 16534-2025 artfynd.xlsx", "A 16534-2025")</f>
        <v/>
      </c>
      <c r="T315">
        <f>HYPERLINK("https://klasma.github.io/Logging_1440/kartor/A 16534-2025 karta.png", "A 16534-2025")</f>
        <v/>
      </c>
      <c r="V315">
        <f>HYPERLINK("https://klasma.github.io/Logging_1440/klagomål/A 16534-2025 FSC-klagomål.docx", "A 16534-2025")</f>
        <v/>
      </c>
      <c r="W315">
        <f>HYPERLINK("https://klasma.github.io/Logging_1440/klagomålsmail/A 16534-2025 FSC-klagomål mail.docx", "A 16534-2025")</f>
        <v/>
      </c>
      <c r="X315">
        <f>HYPERLINK("https://klasma.github.io/Logging_1440/tillsyn/A 16534-2025 tillsynsbegäran.docx", "A 16534-2025")</f>
        <v/>
      </c>
      <c r="Y315">
        <f>HYPERLINK("https://klasma.github.io/Logging_1440/tillsynsmail/A 16534-2025 tillsynsbegäran mail.docx", "A 16534-2025")</f>
        <v/>
      </c>
      <c r="Z315">
        <f>HYPERLINK("https://klasma.github.io/Logging_1440/fåglar/A 16534-2025 prioriterade fågelarter.docx", "A 16534-2025")</f>
        <v/>
      </c>
    </row>
    <row r="316" ht="15" customHeight="1">
      <c r="A316" t="inlineStr">
        <is>
          <t>A 20586-2023</t>
        </is>
      </c>
      <c r="B316" s="1" t="n">
        <v>45057</v>
      </c>
      <c r="C316" s="1" t="n">
        <v>46011</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20586-2023 artfynd.xlsx", "A 20586-2023")</f>
        <v/>
      </c>
      <c r="T316">
        <f>HYPERLINK("https://klasma.github.io/Logging_1440/kartor/A 20586-2023 karta.png", "A 20586-2023")</f>
        <v/>
      </c>
      <c r="V316">
        <f>HYPERLINK("https://klasma.github.io/Logging_1440/klagomål/A 20586-2023 FSC-klagomål.docx", "A 20586-2023")</f>
        <v/>
      </c>
      <c r="W316">
        <f>HYPERLINK("https://klasma.github.io/Logging_1440/klagomålsmail/A 20586-2023 FSC-klagomål mail.docx", "A 20586-2023")</f>
        <v/>
      </c>
      <c r="X316">
        <f>HYPERLINK("https://klasma.github.io/Logging_1440/tillsyn/A 20586-2023 tillsynsbegäran.docx", "A 20586-2023")</f>
        <v/>
      </c>
      <c r="Y316">
        <f>HYPERLINK("https://klasma.github.io/Logging_1440/tillsynsmail/A 20586-2023 tillsynsbegäran mail.docx", "A 20586-2023")</f>
        <v/>
      </c>
      <c r="Z316">
        <f>HYPERLINK("https://klasma.github.io/Logging_1440/fåglar/A 20586-2023 prioriterade fågelarter.docx", "A 20586-2023")</f>
        <v/>
      </c>
    </row>
    <row r="317" ht="15" customHeight="1">
      <c r="A317" t="inlineStr">
        <is>
          <t>A 35783-2025</t>
        </is>
      </c>
      <c r="B317" s="1" t="n">
        <v>45860.84145833334</v>
      </c>
      <c r="C317" s="1" t="n">
        <v>46011</v>
      </c>
      <c r="D317" t="inlineStr">
        <is>
          <t>VÄSTRA GÖTALANDS LÄN</t>
        </is>
      </c>
      <c r="E317" t="inlineStr">
        <is>
          <t>LYSEKIL</t>
        </is>
      </c>
      <c r="G317" t="n">
        <v>6.1</v>
      </c>
      <c r="H317" t="n">
        <v>1</v>
      </c>
      <c r="I317" t="n">
        <v>1</v>
      </c>
      <c r="J317" t="n">
        <v>0</v>
      </c>
      <c r="K317" t="n">
        <v>0</v>
      </c>
      <c r="L317" t="n">
        <v>0</v>
      </c>
      <c r="M317" t="n">
        <v>0</v>
      </c>
      <c r="N317" t="n">
        <v>0</v>
      </c>
      <c r="O317" t="n">
        <v>0</v>
      </c>
      <c r="P317" t="n">
        <v>0</v>
      </c>
      <c r="Q317" t="n">
        <v>2</v>
      </c>
      <c r="R317" s="2" t="inlineStr">
        <is>
          <t>Svart trolldruva
Blåsippa</t>
        </is>
      </c>
      <c r="S317">
        <f>HYPERLINK("https://klasma.github.io/Logging_1484/artfynd/A 35783-2025 artfynd.xlsx", "A 35783-2025")</f>
        <v/>
      </c>
      <c r="T317">
        <f>HYPERLINK("https://klasma.github.io/Logging_1484/kartor/A 35783-2025 karta.png", "A 35783-2025")</f>
        <v/>
      </c>
      <c r="V317">
        <f>HYPERLINK("https://klasma.github.io/Logging_1484/klagomål/A 35783-2025 FSC-klagomål.docx", "A 35783-2025")</f>
        <v/>
      </c>
      <c r="W317">
        <f>HYPERLINK("https://klasma.github.io/Logging_1484/klagomålsmail/A 35783-2025 FSC-klagomål mail.docx", "A 35783-2025")</f>
        <v/>
      </c>
      <c r="X317">
        <f>HYPERLINK("https://klasma.github.io/Logging_1484/tillsyn/A 35783-2025 tillsynsbegäran.docx", "A 35783-2025")</f>
        <v/>
      </c>
      <c r="Y317">
        <f>HYPERLINK("https://klasma.github.io/Logging_1484/tillsynsmail/A 35783-2025 tillsynsbegäran mail.docx", "A 35783-2025")</f>
        <v/>
      </c>
    </row>
    <row r="318" ht="15" customHeight="1">
      <c r="A318" t="inlineStr">
        <is>
          <t>A 2562-2025</t>
        </is>
      </c>
      <c r="B318" s="1" t="n">
        <v>45674.65603009259</v>
      </c>
      <c r="C318" s="1" t="n">
        <v>46011</v>
      </c>
      <c r="D318" t="inlineStr">
        <is>
          <t>VÄSTRA GÖTALANDS LÄN</t>
        </is>
      </c>
      <c r="E318" t="inlineStr">
        <is>
          <t>MUNKEDAL</t>
        </is>
      </c>
      <c r="G318" t="n">
        <v>1.3</v>
      </c>
      <c r="H318" t="n">
        <v>0</v>
      </c>
      <c r="I318" t="n">
        <v>0</v>
      </c>
      <c r="J318" t="n">
        <v>1</v>
      </c>
      <c r="K318" t="n">
        <v>1</v>
      </c>
      <c r="L318" t="n">
        <v>0</v>
      </c>
      <c r="M318" t="n">
        <v>0</v>
      </c>
      <c r="N318" t="n">
        <v>0</v>
      </c>
      <c r="O318" t="n">
        <v>2</v>
      </c>
      <c r="P318" t="n">
        <v>1</v>
      </c>
      <c r="Q318" t="n">
        <v>2</v>
      </c>
      <c r="R318" s="2" t="inlineStr">
        <is>
          <t>Slåttergubbe
Svinrot</t>
        </is>
      </c>
      <c r="S318">
        <f>HYPERLINK("https://klasma.github.io/Logging_1430/artfynd/A 2562-2025 artfynd.xlsx", "A 2562-2025")</f>
        <v/>
      </c>
      <c r="T318">
        <f>HYPERLINK("https://klasma.github.io/Logging_1430/kartor/A 2562-2025 karta.png", "A 2562-2025")</f>
        <v/>
      </c>
      <c r="V318">
        <f>HYPERLINK("https://klasma.github.io/Logging_1430/klagomål/A 2562-2025 FSC-klagomål.docx", "A 2562-2025")</f>
        <v/>
      </c>
      <c r="W318">
        <f>HYPERLINK("https://klasma.github.io/Logging_1430/klagomålsmail/A 2562-2025 FSC-klagomål mail.docx", "A 2562-2025")</f>
        <v/>
      </c>
      <c r="X318">
        <f>HYPERLINK("https://klasma.github.io/Logging_1430/tillsyn/A 2562-2025 tillsynsbegäran.docx", "A 2562-2025")</f>
        <v/>
      </c>
      <c r="Y318">
        <f>HYPERLINK("https://klasma.github.io/Logging_1430/tillsynsmail/A 2562-2025 tillsynsbegäran mail.docx", "A 2562-2025")</f>
        <v/>
      </c>
    </row>
    <row r="319" ht="15" customHeight="1">
      <c r="A319" t="inlineStr">
        <is>
          <t>A 43908-2024</t>
        </is>
      </c>
      <c r="B319" s="1" t="n">
        <v>45572</v>
      </c>
      <c r="C319" s="1" t="n">
        <v>46011</v>
      </c>
      <c r="D319" t="inlineStr">
        <is>
          <t>VÄSTRA GÖTALANDS LÄN</t>
        </is>
      </c>
      <c r="E319" t="inlineStr">
        <is>
          <t>DALS-ED</t>
        </is>
      </c>
      <c r="G319" t="n">
        <v>6.7</v>
      </c>
      <c r="H319" t="n">
        <v>2</v>
      </c>
      <c r="I319" t="n">
        <v>0</v>
      </c>
      <c r="J319" t="n">
        <v>1</v>
      </c>
      <c r="K319" t="n">
        <v>0</v>
      </c>
      <c r="L319" t="n">
        <v>0</v>
      </c>
      <c r="M319" t="n">
        <v>0</v>
      </c>
      <c r="N319" t="n">
        <v>0</v>
      </c>
      <c r="O319" t="n">
        <v>1</v>
      </c>
      <c r="P319" t="n">
        <v>0</v>
      </c>
      <c r="Q319" t="n">
        <v>2</v>
      </c>
      <c r="R319" s="2" t="inlineStr">
        <is>
          <t>Spillkråka
Revlummer</t>
        </is>
      </c>
      <c r="S319">
        <f>HYPERLINK("https://klasma.github.io/Logging_1438/artfynd/A 43908-2024 artfynd.xlsx", "A 43908-2024")</f>
        <v/>
      </c>
      <c r="T319">
        <f>HYPERLINK("https://klasma.github.io/Logging_1438/kartor/A 43908-2024 karta.png", "A 43908-2024")</f>
        <v/>
      </c>
      <c r="V319">
        <f>HYPERLINK("https://klasma.github.io/Logging_1438/klagomål/A 43908-2024 FSC-klagomål.docx", "A 43908-2024")</f>
        <v/>
      </c>
      <c r="W319">
        <f>HYPERLINK("https://klasma.github.io/Logging_1438/klagomålsmail/A 43908-2024 FSC-klagomål mail.docx", "A 43908-2024")</f>
        <v/>
      </c>
      <c r="X319">
        <f>HYPERLINK("https://klasma.github.io/Logging_1438/tillsyn/A 43908-2024 tillsynsbegäran.docx", "A 43908-2024")</f>
        <v/>
      </c>
      <c r="Y319">
        <f>HYPERLINK("https://klasma.github.io/Logging_1438/tillsynsmail/A 43908-2024 tillsynsbegäran mail.docx", "A 43908-2024")</f>
        <v/>
      </c>
      <c r="Z319">
        <f>HYPERLINK("https://klasma.github.io/Logging_1438/fåglar/A 43908-2024 prioriterade fågelarter.docx", "A 43908-2024")</f>
        <v/>
      </c>
    </row>
    <row r="320" ht="15" customHeight="1">
      <c r="A320" t="inlineStr">
        <is>
          <t>A 30968-2025</t>
        </is>
      </c>
      <c r="B320" s="1" t="n">
        <v>45832.45538194444</v>
      </c>
      <c r="C320" s="1" t="n">
        <v>46011</v>
      </c>
      <c r="D320" t="inlineStr">
        <is>
          <t>VÄSTRA GÖTALANDS LÄN</t>
        </is>
      </c>
      <c r="E320" t="inlineStr">
        <is>
          <t>LILLA EDET</t>
        </is>
      </c>
      <c r="G320" t="n">
        <v>7.7</v>
      </c>
      <c r="H320" t="n">
        <v>1</v>
      </c>
      <c r="I320" t="n">
        <v>1</v>
      </c>
      <c r="J320" t="n">
        <v>1</v>
      </c>
      <c r="K320" t="n">
        <v>0</v>
      </c>
      <c r="L320" t="n">
        <v>0</v>
      </c>
      <c r="M320" t="n">
        <v>0</v>
      </c>
      <c r="N320" t="n">
        <v>0</v>
      </c>
      <c r="O320" t="n">
        <v>1</v>
      </c>
      <c r="P320" t="n">
        <v>0</v>
      </c>
      <c r="Q320" t="n">
        <v>2</v>
      </c>
      <c r="R320" s="2" t="inlineStr">
        <is>
          <t>Spillkråka
Blåmossa</t>
        </is>
      </c>
      <c r="S320">
        <f>HYPERLINK("https://klasma.github.io/Logging_1462/artfynd/A 30968-2025 artfynd.xlsx", "A 30968-2025")</f>
        <v/>
      </c>
      <c r="T320">
        <f>HYPERLINK("https://klasma.github.io/Logging_1462/kartor/A 30968-2025 karta.png", "A 30968-2025")</f>
        <v/>
      </c>
      <c r="V320">
        <f>HYPERLINK("https://klasma.github.io/Logging_1462/klagomål/A 30968-2025 FSC-klagomål.docx", "A 30968-2025")</f>
        <v/>
      </c>
      <c r="W320">
        <f>HYPERLINK("https://klasma.github.io/Logging_1462/klagomålsmail/A 30968-2025 FSC-klagomål mail.docx", "A 30968-2025")</f>
        <v/>
      </c>
      <c r="X320">
        <f>HYPERLINK("https://klasma.github.io/Logging_1462/tillsyn/A 30968-2025 tillsynsbegäran.docx", "A 30968-2025")</f>
        <v/>
      </c>
      <c r="Y320">
        <f>HYPERLINK("https://klasma.github.io/Logging_1462/tillsynsmail/A 30968-2025 tillsynsbegäran mail.docx", "A 30968-2025")</f>
        <v/>
      </c>
      <c r="Z320">
        <f>HYPERLINK("https://klasma.github.io/Logging_1462/fåglar/A 30968-2025 prioriterade fågelarter.docx", "A 30968-2025")</f>
        <v/>
      </c>
    </row>
    <row r="321" ht="15" customHeight="1">
      <c r="A321" t="inlineStr">
        <is>
          <t>A 14947-2023</t>
        </is>
      </c>
      <c r="B321" s="1" t="n">
        <v>45015.46353009259</v>
      </c>
      <c r="C321" s="1" t="n">
        <v>46011</v>
      </c>
      <c r="D321" t="inlineStr">
        <is>
          <t>VÄSTRA GÖTALANDS LÄN</t>
        </is>
      </c>
      <c r="E321" t="inlineStr">
        <is>
          <t>MARIESTAD</t>
        </is>
      </c>
      <c r="G321" t="n">
        <v>1.9</v>
      </c>
      <c r="H321" t="n">
        <v>1</v>
      </c>
      <c r="I321" t="n">
        <v>1</v>
      </c>
      <c r="J321" t="n">
        <v>0</v>
      </c>
      <c r="K321" t="n">
        <v>1</v>
      </c>
      <c r="L321" t="n">
        <v>0</v>
      </c>
      <c r="M321" t="n">
        <v>0</v>
      </c>
      <c r="N321" t="n">
        <v>0</v>
      </c>
      <c r="O321" t="n">
        <v>1</v>
      </c>
      <c r="P321" t="n">
        <v>1</v>
      </c>
      <c r="Q321" t="n">
        <v>2</v>
      </c>
      <c r="R321" s="2" t="inlineStr">
        <is>
          <t>Knärot
Grönpyrola</t>
        </is>
      </c>
      <c r="S321">
        <f>HYPERLINK("https://klasma.github.io/Logging_1493/artfynd/A 14947-2023 artfynd.xlsx", "A 14947-2023")</f>
        <v/>
      </c>
      <c r="T321">
        <f>HYPERLINK("https://klasma.github.io/Logging_1493/kartor/A 14947-2023 karta.png", "A 14947-2023")</f>
        <v/>
      </c>
      <c r="U321">
        <f>HYPERLINK("https://klasma.github.io/Logging_1493/knärot/A 14947-2023 karta knärot.png", "A 14947-2023")</f>
        <v/>
      </c>
      <c r="V321">
        <f>HYPERLINK("https://klasma.github.io/Logging_1493/klagomål/A 14947-2023 FSC-klagomål.docx", "A 14947-2023")</f>
        <v/>
      </c>
      <c r="W321">
        <f>HYPERLINK("https://klasma.github.io/Logging_1493/klagomålsmail/A 14947-2023 FSC-klagomål mail.docx", "A 14947-2023")</f>
        <v/>
      </c>
      <c r="X321">
        <f>HYPERLINK("https://klasma.github.io/Logging_1493/tillsyn/A 14947-2023 tillsynsbegäran.docx", "A 14947-2023")</f>
        <v/>
      </c>
      <c r="Y321">
        <f>HYPERLINK("https://klasma.github.io/Logging_1493/tillsynsmail/A 14947-2023 tillsynsbegäran mail.docx", "A 14947-2023")</f>
        <v/>
      </c>
    </row>
    <row r="322" ht="15" customHeight="1">
      <c r="A322" t="inlineStr">
        <is>
          <t>A 380-2025</t>
        </is>
      </c>
      <c r="B322" s="1" t="n">
        <v>45662.43456018518</v>
      </c>
      <c r="C322" s="1" t="n">
        <v>46011</v>
      </c>
      <c r="D322" t="inlineStr">
        <is>
          <t>VÄSTRA GÖTALANDS LÄN</t>
        </is>
      </c>
      <c r="E322" t="inlineStr">
        <is>
          <t>ALE</t>
        </is>
      </c>
      <c r="G322" t="n">
        <v>8.6</v>
      </c>
      <c r="H322" t="n">
        <v>1</v>
      </c>
      <c r="I322" t="n">
        <v>1</v>
      </c>
      <c r="J322" t="n">
        <v>1</v>
      </c>
      <c r="K322" t="n">
        <v>0</v>
      </c>
      <c r="L322" t="n">
        <v>0</v>
      </c>
      <c r="M322" t="n">
        <v>0</v>
      </c>
      <c r="N322" t="n">
        <v>0</v>
      </c>
      <c r="O322" t="n">
        <v>1</v>
      </c>
      <c r="P322" t="n">
        <v>0</v>
      </c>
      <c r="Q322" t="n">
        <v>2</v>
      </c>
      <c r="R322" s="2" t="inlineStr">
        <is>
          <t>Spillkråka
Blåmossa</t>
        </is>
      </c>
      <c r="S322">
        <f>HYPERLINK("https://klasma.github.io/Logging_1440/artfynd/A 380-2025 artfynd.xlsx", "A 380-2025")</f>
        <v/>
      </c>
      <c r="T322">
        <f>HYPERLINK("https://klasma.github.io/Logging_1440/kartor/A 380-2025 karta.png", "A 380-2025")</f>
        <v/>
      </c>
      <c r="V322">
        <f>HYPERLINK("https://klasma.github.io/Logging_1440/klagomål/A 380-2025 FSC-klagomål.docx", "A 380-2025")</f>
        <v/>
      </c>
      <c r="W322">
        <f>HYPERLINK("https://klasma.github.io/Logging_1440/klagomålsmail/A 380-2025 FSC-klagomål mail.docx", "A 380-2025")</f>
        <v/>
      </c>
      <c r="X322">
        <f>HYPERLINK("https://klasma.github.io/Logging_1440/tillsyn/A 380-2025 tillsynsbegäran.docx", "A 380-2025")</f>
        <v/>
      </c>
      <c r="Y322">
        <f>HYPERLINK("https://klasma.github.io/Logging_1440/tillsynsmail/A 380-2025 tillsynsbegäran mail.docx", "A 380-2025")</f>
        <v/>
      </c>
      <c r="Z322">
        <f>HYPERLINK("https://klasma.github.io/Logging_1440/fåglar/A 380-2025 prioriterade fågelarter.docx", "A 380-2025")</f>
        <v/>
      </c>
    </row>
    <row r="323" ht="15" customHeight="1">
      <c r="A323" t="inlineStr">
        <is>
          <t>A 2447-2023</t>
        </is>
      </c>
      <c r="B323" s="1" t="n">
        <v>44943</v>
      </c>
      <c r="C323" s="1" t="n">
        <v>46011</v>
      </c>
      <c r="D323" t="inlineStr">
        <is>
          <t>VÄSTRA GÖTALANDS LÄN</t>
        </is>
      </c>
      <c r="E323" t="inlineStr">
        <is>
          <t>LERUM</t>
        </is>
      </c>
      <c r="G323" t="n">
        <v>3.6</v>
      </c>
      <c r="H323" t="n">
        <v>1</v>
      </c>
      <c r="I323" t="n">
        <v>1</v>
      </c>
      <c r="J323" t="n">
        <v>0</v>
      </c>
      <c r="K323" t="n">
        <v>0</v>
      </c>
      <c r="L323" t="n">
        <v>0</v>
      </c>
      <c r="M323" t="n">
        <v>0</v>
      </c>
      <c r="N323" t="n">
        <v>0</v>
      </c>
      <c r="O323" t="n">
        <v>0</v>
      </c>
      <c r="P323" t="n">
        <v>0</v>
      </c>
      <c r="Q323" t="n">
        <v>2</v>
      </c>
      <c r="R323" s="2" t="inlineStr">
        <is>
          <t>Dolkstekelsglasvinge
Vanlig groda</t>
        </is>
      </c>
      <c r="S323">
        <f>HYPERLINK("https://klasma.github.io/Logging_1441/artfynd/A 2447-2023 artfynd.xlsx", "A 2447-2023")</f>
        <v/>
      </c>
      <c r="T323">
        <f>HYPERLINK("https://klasma.github.io/Logging_1441/kartor/A 2447-2023 karta.png", "A 2447-2023")</f>
        <v/>
      </c>
      <c r="V323">
        <f>HYPERLINK("https://klasma.github.io/Logging_1441/klagomål/A 2447-2023 FSC-klagomål.docx", "A 2447-2023")</f>
        <v/>
      </c>
      <c r="W323">
        <f>HYPERLINK("https://klasma.github.io/Logging_1441/klagomålsmail/A 2447-2023 FSC-klagomål mail.docx", "A 2447-2023")</f>
        <v/>
      </c>
      <c r="X323">
        <f>HYPERLINK("https://klasma.github.io/Logging_1441/tillsyn/A 2447-2023 tillsynsbegäran.docx", "A 2447-2023")</f>
        <v/>
      </c>
      <c r="Y323">
        <f>HYPERLINK("https://klasma.github.io/Logging_1441/tillsynsmail/A 2447-2023 tillsynsbegäran mail.docx", "A 2447-2023")</f>
        <v/>
      </c>
    </row>
    <row r="324" ht="15" customHeight="1">
      <c r="A324" t="inlineStr">
        <is>
          <t>A 57757-2024</t>
        </is>
      </c>
      <c r="B324" s="1" t="n">
        <v>45630.84596064815</v>
      </c>
      <c r="C324" s="1" t="n">
        <v>46011</v>
      </c>
      <c r="D324" t="inlineStr">
        <is>
          <t>VÄSTRA GÖTALANDS LÄN</t>
        </is>
      </c>
      <c r="E324" t="inlineStr">
        <is>
          <t>ALINGSÅS</t>
        </is>
      </c>
      <c r="F324" t="inlineStr">
        <is>
          <t>Kommuner</t>
        </is>
      </c>
      <c r="G324" t="n">
        <v>3</v>
      </c>
      <c r="H324" t="n">
        <v>2</v>
      </c>
      <c r="I324" t="n">
        <v>0</v>
      </c>
      <c r="J324" t="n">
        <v>1</v>
      </c>
      <c r="K324" t="n">
        <v>0</v>
      </c>
      <c r="L324" t="n">
        <v>0</v>
      </c>
      <c r="M324" t="n">
        <v>0</v>
      </c>
      <c r="N324" t="n">
        <v>0</v>
      </c>
      <c r="O324" t="n">
        <v>1</v>
      </c>
      <c r="P324" t="n">
        <v>0</v>
      </c>
      <c r="Q324" t="n">
        <v>2</v>
      </c>
      <c r="R324" s="2" t="inlineStr">
        <is>
          <t>Svartvit flugsnappare
Kungsfågel</t>
        </is>
      </c>
      <c r="S324">
        <f>HYPERLINK("https://klasma.github.io/Logging_1489/artfynd/A 57757-2024 artfynd.xlsx", "A 57757-2024")</f>
        <v/>
      </c>
      <c r="T324">
        <f>HYPERLINK("https://klasma.github.io/Logging_1489/kartor/A 57757-2024 karta.png", "A 57757-2024")</f>
        <v/>
      </c>
      <c r="V324">
        <f>HYPERLINK("https://klasma.github.io/Logging_1489/klagomål/A 57757-2024 FSC-klagomål.docx", "A 57757-2024")</f>
        <v/>
      </c>
      <c r="W324">
        <f>HYPERLINK("https://klasma.github.io/Logging_1489/klagomålsmail/A 57757-2024 FSC-klagomål mail.docx", "A 57757-2024")</f>
        <v/>
      </c>
      <c r="X324">
        <f>HYPERLINK("https://klasma.github.io/Logging_1489/tillsyn/A 57757-2024 tillsynsbegäran.docx", "A 57757-2024")</f>
        <v/>
      </c>
      <c r="Y324">
        <f>HYPERLINK("https://klasma.github.io/Logging_1489/tillsynsmail/A 57757-2024 tillsynsbegäran mail.docx", "A 57757-2024")</f>
        <v/>
      </c>
      <c r="Z324">
        <f>HYPERLINK("https://klasma.github.io/Logging_1489/fåglar/A 57757-2024 prioriterade fågelarter.docx", "A 57757-2024")</f>
        <v/>
      </c>
    </row>
    <row r="325" ht="15" customHeight="1">
      <c r="A325" t="inlineStr">
        <is>
          <t>A 12076-2023</t>
        </is>
      </c>
      <c r="B325" s="1" t="n">
        <v>44997</v>
      </c>
      <c r="C325" s="1" t="n">
        <v>46011</v>
      </c>
      <c r="D325" t="inlineStr">
        <is>
          <t>VÄSTRA GÖTALANDS LÄN</t>
        </is>
      </c>
      <c r="E325" t="inlineStr">
        <is>
          <t>BENGTSFORS</t>
        </is>
      </c>
      <c r="G325" t="n">
        <v>5.5</v>
      </c>
      <c r="H325" t="n">
        <v>2</v>
      </c>
      <c r="I325" t="n">
        <v>0</v>
      </c>
      <c r="J325" t="n">
        <v>1</v>
      </c>
      <c r="K325" t="n">
        <v>0</v>
      </c>
      <c r="L325" t="n">
        <v>0</v>
      </c>
      <c r="M325" t="n">
        <v>0</v>
      </c>
      <c r="N325" t="n">
        <v>0</v>
      </c>
      <c r="O325" t="n">
        <v>1</v>
      </c>
      <c r="P325" t="n">
        <v>0</v>
      </c>
      <c r="Q325" t="n">
        <v>2</v>
      </c>
      <c r="R325" s="2" t="inlineStr">
        <is>
          <t>Rödvingetrast
Vanlig groda</t>
        </is>
      </c>
      <c r="S325">
        <f>HYPERLINK("https://klasma.github.io/Logging_1460/artfynd/A 12076-2023 artfynd.xlsx", "A 12076-2023")</f>
        <v/>
      </c>
      <c r="T325">
        <f>HYPERLINK("https://klasma.github.io/Logging_1460/kartor/A 12076-2023 karta.png", "A 12076-2023")</f>
        <v/>
      </c>
      <c r="V325">
        <f>HYPERLINK("https://klasma.github.io/Logging_1460/klagomål/A 12076-2023 FSC-klagomål.docx", "A 12076-2023")</f>
        <v/>
      </c>
      <c r="W325">
        <f>HYPERLINK("https://klasma.github.io/Logging_1460/klagomålsmail/A 12076-2023 FSC-klagomål mail.docx", "A 12076-2023")</f>
        <v/>
      </c>
      <c r="X325">
        <f>HYPERLINK("https://klasma.github.io/Logging_1460/tillsyn/A 12076-2023 tillsynsbegäran.docx", "A 12076-2023")</f>
        <v/>
      </c>
      <c r="Y325">
        <f>HYPERLINK("https://klasma.github.io/Logging_1460/tillsynsmail/A 12076-2023 tillsynsbegäran mail.docx", "A 12076-2023")</f>
        <v/>
      </c>
      <c r="Z325">
        <f>HYPERLINK("https://klasma.github.io/Logging_1460/fåglar/A 12076-2023 prioriterade fågelarter.docx", "A 12076-2023")</f>
        <v/>
      </c>
    </row>
    <row r="326" ht="15" customHeight="1">
      <c r="A326" t="inlineStr">
        <is>
          <t>A 48687-2025</t>
        </is>
      </c>
      <c r="B326" s="1" t="n">
        <v>45936.60298611111</v>
      </c>
      <c r="C326" s="1" t="n">
        <v>46011</v>
      </c>
      <c r="D326" t="inlineStr">
        <is>
          <t>VÄSTRA GÖTALANDS LÄN</t>
        </is>
      </c>
      <c r="E326" t="inlineStr">
        <is>
          <t>STRÖMSTAD</t>
        </is>
      </c>
      <c r="G326" t="n">
        <v>6.4</v>
      </c>
      <c r="H326" t="n">
        <v>1</v>
      </c>
      <c r="I326" t="n">
        <v>0</v>
      </c>
      <c r="J326" t="n">
        <v>1</v>
      </c>
      <c r="K326" t="n">
        <v>0</v>
      </c>
      <c r="L326" t="n">
        <v>0</v>
      </c>
      <c r="M326" t="n">
        <v>0</v>
      </c>
      <c r="N326" t="n">
        <v>0</v>
      </c>
      <c r="O326" t="n">
        <v>1</v>
      </c>
      <c r="P326" t="n">
        <v>0</v>
      </c>
      <c r="Q326" t="n">
        <v>2</v>
      </c>
      <c r="R326" s="2" t="inlineStr">
        <is>
          <t>Backstarr
Blåsippa</t>
        </is>
      </c>
      <c r="S326">
        <f>HYPERLINK("https://klasma.github.io/Logging_1486/artfynd/A 48687-2025 artfynd.xlsx", "A 48687-2025")</f>
        <v/>
      </c>
      <c r="T326">
        <f>HYPERLINK("https://klasma.github.io/Logging_1486/kartor/A 48687-2025 karta.png", "A 48687-2025")</f>
        <v/>
      </c>
      <c r="V326">
        <f>HYPERLINK("https://klasma.github.io/Logging_1486/klagomål/A 48687-2025 FSC-klagomål.docx", "A 48687-2025")</f>
        <v/>
      </c>
      <c r="W326">
        <f>HYPERLINK("https://klasma.github.io/Logging_1486/klagomålsmail/A 48687-2025 FSC-klagomål mail.docx", "A 48687-2025")</f>
        <v/>
      </c>
      <c r="X326">
        <f>HYPERLINK("https://klasma.github.io/Logging_1486/tillsyn/A 48687-2025 tillsynsbegäran.docx", "A 48687-2025")</f>
        <v/>
      </c>
      <c r="Y326">
        <f>HYPERLINK("https://klasma.github.io/Logging_1486/tillsynsmail/A 48687-2025 tillsynsbegäran mail.docx", "A 48687-2025")</f>
        <v/>
      </c>
    </row>
    <row r="327" ht="15" customHeight="1">
      <c r="A327" t="inlineStr">
        <is>
          <t>A 63479-2023</t>
        </is>
      </c>
      <c r="B327" s="1" t="n">
        <v>45274</v>
      </c>
      <c r="C327" s="1" t="n">
        <v>46011</v>
      </c>
      <c r="D327" t="inlineStr">
        <is>
          <t>VÄSTRA GÖTALANDS LÄN</t>
        </is>
      </c>
      <c r="E327" t="inlineStr">
        <is>
          <t>ALINGSÅS</t>
        </is>
      </c>
      <c r="F327" t="inlineStr">
        <is>
          <t>Kommuner</t>
        </is>
      </c>
      <c r="G327" t="n">
        <v>6</v>
      </c>
      <c r="H327" t="n">
        <v>2</v>
      </c>
      <c r="I327" t="n">
        <v>0</v>
      </c>
      <c r="J327" t="n">
        <v>1</v>
      </c>
      <c r="K327" t="n">
        <v>0</v>
      </c>
      <c r="L327" t="n">
        <v>1</v>
      </c>
      <c r="M327" t="n">
        <v>0</v>
      </c>
      <c r="N327" t="n">
        <v>0</v>
      </c>
      <c r="O327" t="n">
        <v>2</v>
      </c>
      <c r="P327" t="n">
        <v>1</v>
      </c>
      <c r="Q327" t="n">
        <v>2</v>
      </c>
      <c r="R327" s="2" t="inlineStr">
        <is>
          <t>Grönfink
Grönsångare</t>
        </is>
      </c>
      <c r="S327">
        <f>HYPERLINK("https://klasma.github.io/Logging_1489/artfynd/A 63479-2023 artfynd.xlsx", "A 63479-2023")</f>
        <v/>
      </c>
      <c r="T327">
        <f>HYPERLINK("https://klasma.github.io/Logging_1489/kartor/A 63479-2023 karta.png", "A 63479-2023")</f>
        <v/>
      </c>
      <c r="V327">
        <f>HYPERLINK("https://klasma.github.io/Logging_1489/klagomål/A 63479-2023 FSC-klagomål.docx", "A 63479-2023")</f>
        <v/>
      </c>
      <c r="W327">
        <f>HYPERLINK("https://klasma.github.io/Logging_1489/klagomålsmail/A 63479-2023 FSC-klagomål mail.docx", "A 63479-2023")</f>
        <v/>
      </c>
      <c r="X327">
        <f>HYPERLINK("https://klasma.github.io/Logging_1489/tillsyn/A 63479-2023 tillsynsbegäran.docx", "A 63479-2023")</f>
        <v/>
      </c>
      <c r="Y327">
        <f>HYPERLINK("https://klasma.github.io/Logging_1489/tillsynsmail/A 63479-2023 tillsynsbegäran mail.docx", "A 63479-2023")</f>
        <v/>
      </c>
      <c r="Z327">
        <f>HYPERLINK("https://klasma.github.io/Logging_1489/fåglar/A 63479-2023 prioriterade fågelarter.docx", "A 63479-2023")</f>
        <v/>
      </c>
    </row>
    <row r="328" ht="15" customHeight="1">
      <c r="A328" t="inlineStr">
        <is>
          <t>A 49010-2025</t>
        </is>
      </c>
      <c r="B328" s="1" t="n">
        <v>45937.60804398148</v>
      </c>
      <c r="C328" s="1" t="n">
        <v>46011</v>
      </c>
      <c r="D328" t="inlineStr">
        <is>
          <t>VÄSTRA GÖTALANDS LÄN</t>
        </is>
      </c>
      <c r="E328" t="inlineStr">
        <is>
          <t>DALS-ED</t>
        </is>
      </c>
      <c r="G328" t="n">
        <v>10.1</v>
      </c>
      <c r="H328" t="n">
        <v>2</v>
      </c>
      <c r="I328" t="n">
        <v>0</v>
      </c>
      <c r="J328" t="n">
        <v>1</v>
      </c>
      <c r="K328" t="n">
        <v>1</v>
      </c>
      <c r="L328" t="n">
        <v>0</v>
      </c>
      <c r="M328" t="n">
        <v>0</v>
      </c>
      <c r="N328" t="n">
        <v>0</v>
      </c>
      <c r="O328" t="n">
        <v>2</v>
      </c>
      <c r="P328" t="n">
        <v>1</v>
      </c>
      <c r="Q328" t="n">
        <v>2</v>
      </c>
      <c r="R328" s="2" t="inlineStr">
        <is>
          <t>Knärot
Spillkråka</t>
        </is>
      </c>
      <c r="S328">
        <f>HYPERLINK("https://klasma.github.io/Logging_1438/artfynd/A 49010-2025 artfynd.xlsx", "A 49010-2025")</f>
        <v/>
      </c>
      <c r="T328">
        <f>HYPERLINK("https://klasma.github.io/Logging_1438/kartor/A 49010-2025 karta.png", "A 49010-2025")</f>
        <v/>
      </c>
      <c r="U328">
        <f>HYPERLINK("https://klasma.github.io/Logging_1438/knärot/A 49010-2025 karta knärot.png", "A 49010-2025")</f>
        <v/>
      </c>
      <c r="V328">
        <f>HYPERLINK("https://klasma.github.io/Logging_1438/klagomål/A 49010-2025 FSC-klagomål.docx", "A 49010-2025")</f>
        <v/>
      </c>
      <c r="W328">
        <f>HYPERLINK("https://klasma.github.io/Logging_1438/klagomålsmail/A 49010-2025 FSC-klagomål mail.docx", "A 49010-2025")</f>
        <v/>
      </c>
      <c r="X328">
        <f>HYPERLINK("https://klasma.github.io/Logging_1438/tillsyn/A 49010-2025 tillsynsbegäran.docx", "A 49010-2025")</f>
        <v/>
      </c>
      <c r="Y328">
        <f>HYPERLINK("https://klasma.github.io/Logging_1438/tillsynsmail/A 49010-2025 tillsynsbegäran mail.docx", "A 49010-2025")</f>
        <v/>
      </c>
      <c r="Z328">
        <f>HYPERLINK("https://klasma.github.io/Logging_1438/fåglar/A 49010-2025 prioriterade fågelarter.docx", "A 49010-2025")</f>
        <v/>
      </c>
    </row>
    <row r="329" ht="15" customHeight="1">
      <c r="A329" t="inlineStr">
        <is>
          <t>A 12658-2023</t>
        </is>
      </c>
      <c r="B329" s="1" t="n">
        <v>45000</v>
      </c>
      <c r="C329" s="1" t="n">
        <v>46011</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35563-2025</t>
        </is>
      </c>
      <c r="B330" s="1" t="n">
        <v>45856</v>
      </c>
      <c r="C330" s="1" t="n">
        <v>46011</v>
      </c>
      <c r="D330" t="inlineStr">
        <is>
          <t>VÄSTRA GÖTALANDS LÄN</t>
        </is>
      </c>
      <c r="E330" t="inlineStr">
        <is>
          <t>FALKÖPING</t>
        </is>
      </c>
      <c r="G330" t="n">
        <v>11.5</v>
      </c>
      <c r="H330" t="n">
        <v>0</v>
      </c>
      <c r="I330" t="n">
        <v>0</v>
      </c>
      <c r="J330" t="n">
        <v>2</v>
      </c>
      <c r="K330" t="n">
        <v>0</v>
      </c>
      <c r="L330" t="n">
        <v>0</v>
      </c>
      <c r="M330" t="n">
        <v>0</v>
      </c>
      <c r="N330" t="n">
        <v>0</v>
      </c>
      <c r="O330" t="n">
        <v>2</v>
      </c>
      <c r="P330" t="n">
        <v>0</v>
      </c>
      <c r="Q330" t="n">
        <v>2</v>
      </c>
      <c r="R330" s="2" t="inlineStr">
        <is>
          <t>Grantaggsvamp
Svart taggsvamp</t>
        </is>
      </c>
      <c r="S330">
        <f>HYPERLINK("https://klasma.github.io/Logging_1499/artfynd/A 35563-2025 artfynd.xlsx", "A 35563-2025")</f>
        <v/>
      </c>
      <c r="T330">
        <f>HYPERLINK("https://klasma.github.io/Logging_1499/kartor/A 35563-2025 karta.png", "A 35563-2025")</f>
        <v/>
      </c>
      <c r="V330">
        <f>HYPERLINK("https://klasma.github.io/Logging_1499/klagomål/A 35563-2025 FSC-klagomål.docx", "A 35563-2025")</f>
        <v/>
      </c>
      <c r="W330">
        <f>HYPERLINK("https://klasma.github.io/Logging_1499/klagomålsmail/A 35563-2025 FSC-klagomål mail.docx", "A 35563-2025")</f>
        <v/>
      </c>
      <c r="X330">
        <f>HYPERLINK("https://klasma.github.io/Logging_1499/tillsyn/A 35563-2025 tillsynsbegäran.docx", "A 35563-2025")</f>
        <v/>
      </c>
      <c r="Y330">
        <f>HYPERLINK("https://klasma.github.io/Logging_1499/tillsynsmail/A 35563-2025 tillsynsbegäran mail.docx", "A 35563-2025")</f>
        <v/>
      </c>
    </row>
    <row r="331" ht="15" customHeight="1">
      <c r="A331" t="inlineStr">
        <is>
          <t>A 6454-2022</t>
        </is>
      </c>
      <c r="B331" s="1" t="n">
        <v>44601</v>
      </c>
      <c r="C331" s="1" t="n">
        <v>46011</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58567-2025</t>
        </is>
      </c>
      <c r="B332" s="1" t="n">
        <v>45986.36528935185</v>
      </c>
      <c r="C332" s="1" t="n">
        <v>46011</v>
      </c>
      <c r="D332" t="inlineStr">
        <is>
          <t>VÄSTRA GÖTALANDS LÄN</t>
        </is>
      </c>
      <c r="E332" t="inlineStr">
        <is>
          <t>LILLA EDET</t>
        </is>
      </c>
      <c r="G332" t="n">
        <v>17.9</v>
      </c>
      <c r="H332" t="n">
        <v>2</v>
      </c>
      <c r="I332" t="n">
        <v>0</v>
      </c>
      <c r="J332" t="n">
        <v>1</v>
      </c>
      <c r="K332" t="n">
        <v>0</v>
      </c>
      <c r="L332" t="n">
        <v>0</v>
      </c>
      <c r="M332" t="n">
        <v>0</v>
      </c>
      <c r="N332" t="n">
        <v>0</v>
      </c>
      <c r="O332" t="n">
        <v>1</v>
      </c>
      <c r="P332" t="n">
        <v>0</v>
      </c>
      <c r="Q332" t="n">
        <v>2</v>
      </c>
      <c r="R332" s="2" t="inlineStr">
        <is>
          <t>Spillkråka
Revlummer</t>
        </is>
      </c>
      <c r="S332">
        <f>HYPERLINK("https://klasma.github.io/Logging_1462/artfynd/A 58567-2025 artfynd.xlsx", "A 58567-2025")</f>
        <v/>
      </c>
      <c r="T332">
        <f>HYPERLINK("https://klasma.github.io/Logging_1462/kartor/A 58567-2025 karta.png", "A 58567-2025")</f>
        <v/>
      </c>
      <c r="V332">
        <f>HYPERLINK("https://klasma.github.io/Logging_1462/klagomål/A 58567-2025 FSC-klagomål.docx", "A 58567-2025")</f>
        <v/>
      </c>
      <c r="W332">
        <f>HYPERLINK("https://klasma.github.io/Logging_1462/klagomålsmail/A 58567-2025 FSC-klagomål mail.docx", "A 58567-2025")</f>
        <v/>
      </c>
      <c r="X332">
        <f>HYPERLINK("https://klasma.github.io/Logging_1462/tillsyn/A 58567-2025 tillsynsbegäran.docx", "A 58567-2025")</f>
        <v/>
      </c>
      <c r="Y332">
        <f>HYPERLINK("https://klasma.github.io/Logging_1462/tillsynsmail/A 58567-2025 tillsynsbegäran mail.docx", "A 58567-2025")</f>
        <v/>
      </c>
      <c r="Z332">
        <f>HYPERLINK("https://klasma.github.io/Logging_1462/fåglar/A 58567-2025 prioriterade fågelarter.docx", "A 58567-2025")</f>
        <v/>
      </c>
    </row>
    <row r="333" ht="15" customHeight="1">
      <c r="A333" t="inlineStr">
        <is>
          <t>A 62040-2024</t>
        </is>
      </c>
      <c r="B333" s="1" t="n">
        <v>45656</v>
      </c>
      <c r="C333" s="1" t="n">
        <v>46011</v>
      </c>
      <c r="D333" t="inlineStr">
        <is>
          <t>VÄSTRA GÖTALANDS LÄN</t>
        </is>
      </c>
      <c r="E333" t="inlineStr">
        <is>
          <t>UDDEVALLA</t>
        </is>
      </c>
      <c r="F333" t="inlineStr">
        <is>
          <t>Kommuner</t>
        </is>
      </c>
      <c r="G333" t="n">
        <v>2.9</v>
      </c>
      <c r="H333" t="n">
        <v>1</v>
      </c>
      <c r="I333" t="n">
        <v>1</v>
      </c>
      <c r="J333" t="n">
        <v>0</v>
      </c>
      <c r="K333" t="n">
        <v>0</v>
      </c>
      <c r="L333" t="n">
        <v>0</v>
      </c>
      <c r="M333" t="n">
        <v>0</v>
      </c>
      <c r="N333" t="n">
        <v>0</v>
      </c>
      <c r="O333" t="n">
        <v>0</v>
      </c>
      <c r="P333" t="n">
        <v>0</v>
      </c>
      <c r="Q333" t="n">
        <v>2</v>
      </c>
      <c r="R333" s="2" t="inlineStr">
        <is>
          <t>Kambräken
Vanlig groda</t>
        </is>
      </c>
      <c r="S333">
        <f>HYPERLINK("https://klasma.github.io/Logging_1485/artfynd/A 62040-2024 artfynd.xlsx", "A 62040-2024")</f>
        <v/>
      </c>
      <c r="T333">
        <f>HYPERLINK("https://klasma.github.io/Logging_1485/kartor/A 62040-2024 karta.png", "A 62040-2024")</f>
        <v/>
      </c>
      <c r="V333">
        <f>HYPERLINK("https://klasma.github.io/Logging_1485/klagomål/A 62040-2024 FSC-klagomål.docx", "A 62040-2024")</f>
        <v/>
      </c>
      <c r="W333">
        <f>HYPERLINK("https://klasma.github.io/Logging_1485/klagomålsmail/A 62040-2024 FSC-klagomål mail.docx", "A 62040-2024")</f>
        <v/>
      </c>
      <c r="X333">
        <f>HYPERLINK("https://klasma.github.io/Logging_1485/tillsyn/A 62040-2024 tillsynsbegäran.docx", "A 62040-2024")</f>
        <v/>
      </c>
      <c r="Y333">
        <f>HYPERLINK("https://klasma.github.io/Logging_1485/tillsynsmail/A 62040-2024 tillsynsbegäran mail.docx", "A 62040-2024")</f>
        <v/>
      </c>
    </row>
    <row r="334" ht="15" customHeight="1">
      <c r="A334" t="inlineStr">
        <is>
          <t>A 36195-2022</t>
        </is>
      </c>
      <c r="B334" s="1" t="n">
        <v>44803</v>
      </c>
      <c r="C334" s="1" t="n">
        <v>46011</v>
      </c>
      <c r="D334" t="inlineStr">
        <is>
          <t>VÄSTRA GÖTALANDS LÄN</t>
        </is>
      </c>
      <c r="E334" t="inlineStr">
        <is>
          <t>ALINGSÅS</t>
        </is>
      </c>
      <c r="G334" t="n">
        <v>1.8</v>
      </c>
      <c r="H334" t="n">
        <v>0</v>
      </c>
      <c r="I334" t="n">
        <v>1</v>
      </c>
      <c r="J334" t="n">
        <v>1</v>
      </c>
      <c r="K334" t="n">
        <v>0</v>
      </c>
      <c r="L334" t="n">
        <v>0</v>
      </c>
      <c r="M334" t="n">
        <v>0</v>
      </c>
      <c r="N334" t="n">
        <v>0</v>
      </c>
      <c r="O334" t="n">
        <v>1</v>
      </c>
      <c r="P334" t="n">
        <v>0</v>
      </c>
      <c r="Q334" t="n">
        <v>2</v>
      </c>
      <c r="R334" s="2" t="inlineStr">
        <is>
          <t>Svartvit taggsvamp
Dropptaggsvamp</t>
        </is>
      </c>
      <c r="S334">
        <f>HYPERLINK("https://klasma.github.io/Logging_1489/artfynd/A 36195-2022 artfynd.xlsx", "A 36195-2022")</f>
        <v/>
      </c>
      <c r="T334">
        <f>HYPERLINK("https://klasma.github.io/Logging_1489/kartor/A 36195-2022 karta.png", "A 36195-2022")</f>
        <v/>
      </c>
      <c r="V334">
        <f>HYPERLINK("https://klasma.github.io/Logging_1489/klagomål/A 36195-2022 FSC-klagomål.docx", "A 36195-2022")</f>
        <v/>
      </c>
      <c r="W334">
        <f>HYPERLINK("https://klasma.github.io/Logging_1489/klagomålsmail/A 36195-2022 FSC-klagomål mail.docx", "A 36195-2022")</f>
        <v/>
      </c>
      <c r="X334">
        <f>HYPERLINK("https://klasma.github.io/Logging_1489/tillsyn/A 36195-2022 tillsynsbegäran.docx", "A 36195-2022")</f>
        <v/>
      </c>
      <c r="Y334">
        <f>HYPERLINK("https://klasma.github.io/Logging_1489/tillsynsmail/A 36195-2022 tillsynsbegäran mail.docx", "A 36195-2022")</f>
        <v/>
      </c>
    </row>
    <row r="335" ht="15" customHeight="1">
      <c r="A335" t="inlineStr">
        <is>
          <t>A 67507-2021</t>
        </is>
      </c>
      <c r="B335" s="1" t="n">
        <v>44524</v>
      </c>
      <c r="C335" s="1" t="n">
        <v>46011</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50437-2025</t>
        </is>
      </c>
      <c r="B336" s="1" t="n">
        <v>45944.71523148148</v>
      </c>
      <c r="C336" s="1" t="n">
        <v>46011</v>
      </c>
      <c r="D336" t="inlineStr">
        <is>
          <t>VÄSTRA GÖTALANDS LÄN</t>
        </is>
      </c>
      <c r="E336" t="inlineStr">
        <is>
          <t>STRÖMSTAD</t>
        </is>
      </c>
      <c r="G336" t="n">
        <v>3.6</v>
      </c>
      <c r="H336" t="n">
        <v>1</v>
      </c>
      <c r="I336" t="n">
        <v>1</v>
      </c>
      <c r="J336" t="n">
        <v>1</v>
      </c>
      <c r="K336" t="n">
        <v>0</v>
      </c>
      <c r="L336" t="n">
        <v>0</v>
      </c>
      <c r="M336" t="n">
        <v>0</v>
      </c>
      <c r="N336" t="n">
        <v>0</v>
      </c>
      <c r="O336" t="n">
        <v>1</v>
      </c>
      <c r="P336" t="n">
        <v>0</v>
      </c>
      <c r="Q336" t="n">
        <v>2</v>
      </c>
      <c r="R336" s="2" t="inlineStr">
        <is>
          <t>Spillkråka
Blåmossa</t>
        </is>
      </c>
      <c r="S336">
        <f>HYPERLINK("https://klasma.github.io/Logging_1486/artfynd/A 50437-2025 artfynd.xlsx", "A 50437-2025")</f>
        <v/>
      </c>
      <c r="T336">
        <f>HYPERLINK("https://klasma.github.io/Logging_1486/kartor/A 50437-2025 karta.png", "A 50437-2025")</f>
        <v/>
      </c>
      <c r="V336">
        <f>HYPERLINK("https://klasma.github.io/Logging_1486/klagomål/A 50437-2025 FSC-klagomål.docx", "A 50437-2025")</f>
        <v/>
      </c>
      <c r="W336">
        <f>HYPERLINK("https://klasma.github.io/Logging_1486/klagomålsmail/A 50437-2025 FSC-klagomål mail.docx", "A 50437-2025")</f>
        <v/>
      </c>
      <c r="X336">
        <f>HYPERLINK("https://klasma.github.io/Logging_1486/tillsyn/A 50437-2025 tillsynsbegäran.docx", "A 50437-2025")</f>
        <v/>
      </c>
      <c r="Y336">
        <f>HYPERLINK("https://klasma.github.io/Logging_1486/tillsynsmail/A 50437-2025 tillsynsbegäran mail.docx", "A 50437-2025")</f>
        <v/>
      </c>
      <c r="Z336">
        <f>HYPERLINK("https://klasma.github.io/Logging_1486/fåglar/A 50437-2025 prioriterade fågelarter.docx", "A 50437-2025")</f>
        <v/>
      </c>
    </row>
    <row r="337" ht="15" customHeight="1">
      <c r="A337" t="inlineStr">
        <is>
          <t>A 13199-2021</t>
        </is>
      </c>
      <c r="B337" s="1" t="n">
        <v>44272</v>
      </c>
      <c r="C337" s="1" t="n">
        <v>46011</v>
      </c>
      <c r="D337" t="inlineStr">
        <is>
          <t>VÄSTRA GÖTALANDS LÄN</t>
        </is>
      </c>
      <c r="E337" t="inlineStr">
        <is>
          <t>HJO</t>
        </is>
      </c>
      <c r="G337" t="n">
        <v>11</v>
      </c>
      <c r="H337" t="n">
        <v>1</v>
      </c>
      <c r="I337" t="n">
        <v>0</v>
      </c>
      <c r="J337" t="n">
        <v>1</v>
      </c>
      <c r="K337" t="n">
        <v>0</v>
      </c>
      <c r="L337" t="n">
        <v>0</v>
      </c>
      <c r="M337" t="n">
        <v>0</v>
      </c>
      <c r="N337" t="n">
        <v>0</v>
      </c>
      <c r="O337" t="n">
        <v>1</v>
      </c>
      <c r="P337" t="n">
        <v>0</v>
      </c>
      <c r="Q337" t="n">
        <v>2</v>
      </c>
      <c r="R337" s="2" t="inlineStr">
        <is>
          <t>Vårstarr
Grönvit nattviol</t>
        </is>
      </c>
      <c r="S337">
        <f>HYPERLINK("https://klasma.github.io/Logging_1497/artfynd/A 13199-2021 artfynd.xlsx", "A 13199-2021")</f>
        <v/>
      </c>
      <c r="T337">
        <f>HYPERLINK("https://klasma.github.io/Logging_1497/kartor/A 13199-2021 karta.png", "A 13199-2021")</f>
        <v/>
      </c>
      <c r="V337">
        <f>HYPERLINK("https://klasma.github.io/Logging_1497/klagomål/A 13199-2021 FSC-klagomål.docx", "A 13199-2021")</f>
        <v/>
      </c>
      <c r="W337">
        <f>HYPERLINK("https://klasma.github.io/Logging_1497/klagomålsmail/A 13199-2021 FSC-klagomål mail.docx", "A 13199-2021")</f>
        <v/>
      </c>
      <c r="X337">
        <f>HYPERLINK("https://klasma.github.io/Logging_1497/tillsyn/A 13199-2021 tillsynsbegäran.docx", "A 13199-2021")</f>
        <v/>
      </c>
      <c r="Y337">
        <f>HYPERLINK("https://klasma.github.io/Logging_1497/tillsynsmail/A 13199-2021 tillsynsbegäran mail.docx", "A 13199-2021")</f>
        <v/>
      </c>
    </row>
    <row r="338" ht="15" customHeight="1">
      <c r="A338" t="inlineStr">
        <is>
          <t>A 38204-2024</t>
        </is>
      </c>
      <c r="B338" s="1" t="n">
        <v>45545.5043287037</v>
      </c>
      <c r="C338" s="1" t="n">
        <v>46011</v>
      </c>
      <c r="D338" t="inlineStr">
        <is>
          <t>VÄSTRA GÖTALANDS LÄN</t>
        </is>
      </c>
      <c r="E338" t="inlineStr">
        <is>
          <t>KARLSBORG</t>
        </is>
      </c>
      <c r="F338" t="inlineStr">
        <is>
          <t>Sveaskog</t>
        </is>
      </c>
      <c r="G338" t="n">
        <v>5.4</v>
      </c>
      <c r="H338" t="n">
        <v>2</v>
      </c>
      <c r="I338" t="n">
        <v>0</v>
      </c>
      <c r="J338" t="n">
        <v>0</v>
      </c>
      <c r="K338" t="n">
        <v>1</v>
      </c>
      <c r="L338" t="n">
        <v>0</v>
      </c>
      <c r="M338" t="n">
        <v>0</v>
      </c>
      <c r="N338" t="n">
        <v>0</v>
      </c>
      <c r="O338" t="n">
        <v>1</v>
      </c>
      <c r="P338" t="n">
        <v>1</v>
      </c>
      <c r="Q338" t="n">
        <v>2</v>
      </c>
      <c r="R338" s="2" t="inlineStr">
        <is>
          <t>Knärot
Kungsfågel</t>
        </is>
      </c>
      <c r="S338">
        <f>HYPERLINK("https://klasma.github.io/Logging_1446/artfynd/A 38204-2024 artfynd.xlsx", "A 38204-2024")</f>
        <v/>
      </c>
      <c r="T338">
        <f>HYPERLINK("https://klasma.github.io/Logging_1446/kartor/A 38204-2024 karta.png", "A 38204-2024")</f>
        <v/>
      </c>
      <c r="U338">
        <f>HYPERLINK("https://klasma.github.io/Logging_1446/knärot/A 38204-2024 karta knärot.png", "A 38204-2024")</f>
        <v/>
      </c>
      <c r="V338">
        <f>HYPERLINK("https://klasma.github.io/Logging_1446/klagomål/A 38204-2024 FSC-klagomål.docx", "A 38204-2024")</f>
        <v/>
      </c>
      <c r="W338">
        <f>HYPERLINK("https://klasma.github.io/Logging_1446/klagomålsmail/A 38204-2024 FSC-klagomål mail.docx", "A 38204-2024")</f>
        <v/>
      </c>
      <c r="X338">
        <f>HYPERLINK("https://klasma.github.io/Logging_1446/tillsyn/A 38204-2024 tillsynsbegäran.docx", "A 38204-2024")</f>
        <v/>
      </c>
      <c r="Y338">
        <f>HYPERLINK("https://klasma.github.io/Logging_1446/tillsynsmail/A 38204-2024 tillsynsbegäran mail.docx", "A 38204-2024")</f>
        <v/>
      </c>
      <c r="Z338">
        <f>HYPERLINK("https://klasma.github.io/Logging_1446/fåglar/A 38204-2024 prioriterade fågelarter.docx", "A 38204-2024")</f>
        <v/>
      </c>
    </row>
    <row r="339" ht="15" customHeight="1">
      <c r="A339" t="inlineStr">
        <is>
          <t>A 59166-2024</t>
        </is>
      </c>
      <c r="B339" s="1" t="n">
        <v>45637.48934027777</v>
      </c>
      <c r="C339" s="1" t="n">
        <v>46011</v>
      </c>
      <c r="D339" t="inlineStr">
        <is>
          <t>VÄSTRA GÖTALANDS LÄN</t>
        </is>
      </c>
      <c r="E339" t="inlineStr">
        <is>
          <t>DALS-ED</t>
        </is>
      </c>
      <c r="G339" t="n">
        <v>3.4</v>
      </c>
      <c r="H339" t="n">
        <v>0</v>
      </c>
      <c r="I339" t="n">
        <v>1</v>
      </c>
      <c r="J339" t="n">
        <v>1</v>
      </c>
      <c r="K339" t="n">
        <v>0</v>
      </c>
      <c r="L339" t="n">
        <v>0</v>
      </c>
      <c r="M339" t="n">
        <v>0</v>
      </c>
      <c r="N339" t="n">
        <v>0</v>
      </c>
      <c r="O339" t="n">
        <v>1</v>
      </c>
      <c r="P339" t="n">
        <v>0</v>
      </c>
      <c r="Q339" t="n">
        <v>2</v>
      </c>
      <c r="R339" s="2" t="inlineStr">
        <is>
          <t>Vitplätt
Jättesvampmal</t>
        </is>
      </c>
      <c r="S339">
        <f>HYPERLINK("https://klasma.github.io/Logging_1438/artfynd/A 59166-2024 artfynd.xlsx", "A 59166-2024")</f>
        <v/>
      </c>
      <c r="T339">
        <f>HYPERLINK("https://klasma.github.io/Logging_1438/kartor/A 59166-2024 karta.png", "A 59166-2024")</f>
        <v/>
      </c>
      <c r="V339">
        <f>HYPERLINK("https://klasma.github.io/Logging_1438/klagomål/A 59166-2024 FSC-klagomål.docx", "A 59166-2024")</f>
        <v/>
      </c>
      <c r="W339">
        <f>HYPERLINK("https://klasma.github.io/Logging_1438/klagomålsmail/A 59166-2024 FSC-klagomål mail.docx", "A 59166-2024")</f>
        <v/>
      </c>
      <c r="X339">
        <f>HYPERLINK("https://klasma.github.io/Logging_1438/tillsyn/A 59166-2024 tillsynsbegäran.docx", "A 59166-2024")</f>
        <v/>
      </c>
      <c r="Y339">
        <f>HYPERLINK("https://klasma.github.io/Logging_1438/tillsynsmail/A 59166-2024 tillsynsbegäran mail.docx", "A 59166-2024")</f>
        <v/>
      </c>
    </row>
    <row r="340" ht="15" customHeight="1">
      <c r="A340" t="inlineStr">
        <is>
          <t>A 56053-2023</t>
        </is>
      </c>
      <c r="B340" s="1" t="n">
        <v>45240</v>
      </c>
      <c r="C340" s="1" t="n">
        <v>46011</v>
      </c>
      <c r="D340" t="inlineStr">
        <is>
          <t>VÄSTRA GÖTALANDS LÄN</t>
        </is>
      </c>
      <c r="E340" t="inlineStr">
        <is>
          <t>ALINGSÅS</t>
        </is>
      </c>
      <c r="G340" t="n">
        <v>3.2</v>
      </c>
      <c r="H340" t="n">
        <v>1</v>
      </c>
      <c r="I340" t="n">
        <v>0</v>
      </c>
      <c r="J340" t="n">
        <v>1</v>
      </c>
      <c r="K340" t="n">
        <v>0</v>
      </c>
      <c r="L340" t="n">
        <v>0</v>
      </c>
      <c r="M340" t="n">
        <v>0</v>
      </c>
      <c r="N340" t="n">
        <v>0</v>
      </c>
      <c r="O340" t="n">
        <v>1</v>
      </c>
      <c r="P340" t="n">
        <v>0</v>
      </c>
      <c r="Q340" t="n">
        <v>2</v>
      </c>
      <c r="R340" s="2" t="inlineStr">
        <is>
          <t>Orange taggsvamp
Vanlig groda</t>
        </is>
      </c>
      <c r="S340">
        <f>HYPERLINK("https://klasma.github.io/Logging_1489/artfynd/A 56053-2023 artfynd.xlsx", "A 56053-2023")</f>
        <v/>
      </c>
      <c r="T340">
        <f>HYPERLINK("https://klasma.github.io/Logging_1489/kartor/A 56053-2023 karta.png", "A 56053-2023")</f>
        <v/>
      </c>
      <c r="V340">
        <f>HYPERLINK("https://klasma.github.io/Logging_1489/klagomål/A 56053-2023 FSC-klagomål.docx", "A 56053-2023")</f>
        <v/>
      </c>
      <c r="W340">
        <f>HYPERLINK("https://klasma.github.io/Logging_1489/klagomålsmail/A 56053-2023 FSC-klagomål mail.docx", "A 56053-2023")</f>
        <v/>
      </c>
      <c r="X340">
        <f>HYPERLINK("https://klasma.github.io/Logging_1489/tillsyn/A 56053-2023 tillsynsbegäran.docx", "A 56053-2023")</f>
        <v/>
      </c>
      <c r="Y340">
        <f>HYPERLINK("https://klasma.github.io/Logging_1489/tillsynsmail/A 56053-2023 tillsynsbegäran mail.docx", "A 56053-2023")</f>
        <v/>
      </c>
    </row>
    <row r="341" ht="15" customHeight="1">
      <c r="A341" t="inlineStr">
        <is>
          <t>A 61611-2022</t>
        </is>
      </c>
      <c r="B341" s="1" t="n">
        <v>44916</v>
      </c>
      <c r="C341" s="1" t="n">
        <v>46011</v>
      </c>
      <c r="D341" t="inlineStr">
        <is>
          <t>VÄSTRA GÖTALANDS LÄN</t>
        </is>
      </c>
      <c r="E341" t="inlineStr">
        <is>
          <t>BENGTSFORS</t>
        </is>
      </c>
      <c r="G341" t="n">
        <v>2.6</v>
      </c>
      <c r="H341" t="n">
        <v>0</v>
      </c>
      <c r="I341" t="n">
        <v>1</v>
      </c>
      <c r="J341" t="n">
        <v>1</v>
      </c>
      <c r="K341" t="n">
        <v>0</v>
      </c>
      <c r="L341" t="n">
        <v>0</v>
      </c>
      <c r="M341" t="n">
        <v>0</v>
      </c>
      <c r="N341" t="n">
        <v>0</v>
      </c>
      <c r="O341" t="n">
        <v>1</v>
      </c>
      <c r="P341" t="n">
        <v>0</v>
      </c>
      <c r="Q341" t="n">
        <v>2</v>
      </c>
      <c r="R341" s="2" t="inlineStr">
        <is>
          <t>Lunglav
Vedticka</t>
        </is>
      </c>
      <c r="S341">
        <f>HYPERLINK("https://klasma.github.io/Logging_1460/artfynd/A 61611-2022 artfynd.xlsx", "A 61611-2022")</f>
        <v/>
      </c>
      <c r="T341">
        <f>HYPERLINK("https://klasma.github.io/Logging_1460/kartor/A 61611-2022 karta.png", "A 61611-2022")</f>
        <v/>
      </c>
      <c r="V341">
        <f>HYPERLINK("https://klasma.github.io/Logging_1460/klagomål/A 61611-2022 FSC-klagomål.docx", "A 61611-2022")</f>
        <v/>
      </c>
      <c r="W341">
        <f>HYPERLINK("https://klasma.github.io/Logging_1460/klagomålsmail/A 61611-2022 FSC-klagomål mail.docx", "A 61611-2022")</f>
        <v/>
      </c>
      <c r="X341">
        <f>HYPERLINK("https://klasma.github.io/Logging_1460/tillsyn/A 61611-2022 tillsynsbegäran.docx", "A 61611-2022")</f>
        <v/>
      </c>
      <c r="Y341">
        <f>HYPERLINK("https://klasma.github.io/Logging_1460/tillsynsmail/A 61611-2022 tillsynsbegäran mail.docx", "A 61611-2022")</f>
        <v/>
      </c>
    </row>
    <row r="342" ht="15" customHeight="1">
      <c r="A342" t="inlineStr">
        <is>
          <t>A 64855-2023</t>
        </is>
      </c>
      <c r="B342" s="1" t="n">
        <v>45282</v>
      </c>
      <c r="C342" s="1" t="n">
        <v>46011</v>
      </c>
      <c r="D342" t="inlineStr">
        <is>
          <t>VÄSTRA GÖTALANDS LÄN</t>
        </is>
      </c>
      <c r="E342" t="inlineStr">
        <is>
          <t>LERUM</t>
        </is>
      </c>
      <c r="G342" t="n">
        <v>3.7</v>
      </c>
      <c r="H342" t="n">
        <v>1</v>
      </c>
      <c r="I342" t="n">
        <v>0</v>
      </c>
      <c r="J342" t="n">
        <v>2</v>
      </c>
      <c r="K342" t="n">
        <v>0</v>
      </c>
      <c r="L342" t="n">
        <v>0</v>
      </c>
      <c r="M342" t="n">
        <v>0</v>
      </c>
      <c r="N342" t="n">
        <v>0</v>
      </c>
      <c r="O342" t="n">
        <v>2</v>
      </c>
      <c r="P342" t="n">
        <v>0</v>
      </c>
      <c r="Q342" t="n">
        <v>2</v>
      </c>
      <c r="R342" s="2" t="inlineStr">
        <is>
          <t>Havsörn
Svart taggsvamp</t>
        </is>
      </c>
      <c r="S342">
        <f>HYPERLINK("https://klasma.github.io/Logging_1441/artfynd/A 64855-2023 artfynd.xlsx", "A 64855-2023")</f>
        <v/>
      </c>
      <c r="T342">
        <f>HYPERLINK("https://klasma.github.io/Logging_1441/kartor/A 64855-2023 karta.png", "A 64855-2023")</f>
        <v/>
      </c>
      <c r="V342">
        <f>HYPERLINK("https://klasma.github.io/Logging_1441/klagomål/A 64855-2023 FSC-klagomål.docx", "A 64855-2023")</f>
        <v/>
      </c>
      <c r="W342">
        <f>HYPERLINK("https://klasma.github.io/Logging_1441/klagomålsmail/A 64855-2023 FSC-klagomål mail.docx", "A 64855-2023")</f>
        <v/>
      </c>
      <c r="X342">
        <f>HYPERLINK("https://klasma.github.io/Logging_1441/tillsyn/A 64855-2023 tillsynsbegäran.docx", "A 64855-2023")</f>
        <v/>
      </c>
      <c r="Y342">
        <f>HYPERLINK("https://klasma.github.io/Logging_1441/tillsynsmail/A 64855-2023 tillsynsbegäran mail.docx", "A 64855-2023")</f>
        <v/>
      </c>
      <c r="Z342">
        <f>HYPERLINK("https://klasma.github.io/Logging_1441/fåglar/A 64855-2023 prioriterade fågelarter.docx", "A 64855-2023")</f>
        <v/>
      </c>
    </row>
    <row r="343" ht="15" customHeight="1">
      <c r="A343" t="inlineStr">
        <is>
          <t>A 22884-2023</t>
        </is>
      </c>
      <c r="B343" s="1" t="n">
        <v>45072</v>
      </c>
      <c r="C343" s="1" t="n">
        <v>46011</v>
      </c>
      <c r="D343" t="inlineStr">
        <is>
          <t>VÄSTRA GÖTALANDS LÄN</t>
        </is>
      </c>
      <c r="E343" t="inlineStr">
        <is>
          <t>HERRLJUNGA</t>
        </is>
      </c>
      <c r="G343" t="n">
        <v>9.300000000000001</v>
      </c>
      <c r="H343" t="n">
        <v>1</v>
      </c>
      <c r="I343" t="n">
        <v>1</v>
      </c>
      <c r="J343" t="n">
        <v>0</v>
      </c>
      <c r="K343" t="n">
        <v>1</v>
      </c>
      <c r="L343" t="n">
        <v>0</v>
      </c>
      <c r="M343" t="n">
        <v>0</v>
      </c>
      <c r="N343" t="n">
        <v>0</v>
      </c>
      <c r="O343" t="n">
        <v>1</v>
      </c>
      <c r="P343" t="n">
        <v>1</v>
      </c>
      <c r="Q343" t="n">
        <v>2</v>
      </c>
      <c r="R343" s="2" t="inlineStr">
        <is>
          <t>Knärot
Västlig hakmossa</t>
        </is>
      </c>
      <c r="S343">
        <f>HYPERLINK("https://klasma.github.io/Logging_1466/artfynd/A 22884-2023 artfynd.xlsx", "A 22884-2023")</f>
        <v/>
      </c>
      <c r="T343">
        <f>HYPERLINK("https://klasma.github.io/Logging_1466/kartor/A 22884-2023 karta.png", "A 22884-2023")</f>
        <v/>
      </c>
      <c r="U343">
        <f>HYPERLINK("https://klasma.github.io/Logging_1466/knärot/A 22884-2023 karta knärot.png", "A 22884-2023")</f>
        <v/>
      </c>
      <c r="V343">
        <f>HYPERLINK("https://klasma.github.io/Logging_1466/klagomål/A 22884-2023 FSC-klagomål.docx", "A 22884-2023")</f>
        <v/>
      </c>
      <c r="W343">
        <f>HYPERLINK("https://klasma.github.io/Logging_1466/klagomålsmail/A 22884-2023 FSC-klagomål mail.docx", "A 22884-2023")</f>
        <v/>
      </c>
      <c r="X343">
        <f>HYPERLINK("https://klasma.github.io/Logging_1466/tillsyn/A 22884-2023 tillsynsbegäran.docx", "A 22884-2023")</f>
        <v/>
      </c>
      <c r="Y343">
        <f>HYPERLINK("https://klasma.github.io/Logging_1466/tillsynsmail/A 22884-2023 tillsynsbegäran mail.docx", "A 22884-2023")</f>
        <v/>
      </c>
    </row>
    <row r="344" ht="15" customHeight="1">
      <c r="A344" t="inlineStr">
        <is>
          <t>A 32319-2025</t>
        </is>
      </c>
      <c r="B344" s="1" t="n">
        <v>45836</v>
      </c>
      <c r="C344" s="1" t="n">
        <v>46011</v>
      </c>
      <c r="D344" t="inlineStr">
        <is>
          <t>VÄSTRA GÖTALANDS LÄN</t>
        </is>
      </c>
      <c r="E344" t="inlineStr">
        <is>
          <t>BORÅS</t>
        </is>
      </c>
      <c r="G344" t="n">
        <v>27.8</v>
      </c>
      <c r="H344" t="n">
        <v>1</v>
      </c>
      <c r="I344" t="n">
        <v>1</v>
      </c>
      <c r="J344" t="n">
        <v>0</v>
      </c>
      <c r="K344" t="n">
        <v>0</v>
      </c>
      <c r="L344" t="n">
        <v>0</v>
      </c>
      <c r="M344" t="n">
        <v>0</v>
      </c>
      <c r="N344" t="n">
        <v>0</v>
      </c>
      <c r="O344" t="n">
        <v>0</v>
      </c>
      <c r="P344" t="n">
        <v>0</v>
      </c>
      <c r="Q344" t="n">
        <v>2</v>
      </c>
      <c r="R344" s="2" t="inlineStr">
        <is>
          <t>Stor revmossa
Tjäder</t>
        </is>
      </c>
      <c r="S344">
        <f>HYPERLINK("https://klasma.github.io/Logging_1490/artfynd/A 32319-2025 artfynd.xlsx", "A 32319-2025")</f>
        <v/>
      </c>
      <c r="T344">
        <f>HYPERLINK("https://klasma.github.io/Logging_1490/kartor/A 32319-2025 karta.png", "A 32319-2025")</f>
        <v/>
      </c>
      <c r="V344">
        <f>HYPERLINK("https://klasma.github.io/Logging_1490/klagomål/A 32319-2025 FSC-klagomål.docx", "A 32319-2025")</f>
        <v/>
      </c>
      <c r="W344">
        <f>HYPERLINK("https://klasma.github.io/Logging_1490/klagomålsmail/A 32319-2025 FSC-klagomål mail.docx", "A 32319-2025")</f>
        <v/>
      </c>
      <c r="X344">
        <f>HYPERLINK("https://klasma.github.io/Logging_1490/tillsyn/A 32319-2025 tillsynsbegäran.docx", "A 32319-2025")</f>
        <v/>
      </c>
      <c r="Y344">
        <f>HYPERLINK("https://klasma.github.io/Logging_1490/tillsynsmail/A 32319-2025 tillsynsbegäran mail.docx", "A 32319-2025")</f>
        <v/>
      </c>
      <c r="Z344">
        <f>HYPERLINK("https://klasma.github.io/Logging_1490/fåglar/A 32319-2025 prioriterade fågelarter.docx", "A 32319-2025")</f>
        <v/>
      </c>
    </row>
    <row r="345" ht="15" customHeight="1">
      <c r="A345" t="inlineStr">
        <is>
          <t>A 2579-2023</t>
        </is>
      </c>
      <c r="B345" s="1" t="n">
        <v>44943</v>
      </c>
      <c r="C345" s="1" t="n">
        <v>46011</v>
      </c>
      <c r="D345" t="inlineStr">
        <is>
          <t>VÄSTRA GÖTALANDS LÄN</t>
        </is>
      </c>
      <c r="E345" t="inlineStr">
        <is>
          <t>SKÖVDE</t>
        </is>
      </c>
      <c r="G345" t="n">
        <v>5.3</v>
      </c>
      <c r="H345" t="n">
        <v>1</v>
      </c>
      <c r="I345" t="n">
        <v>1</v>
      </c>
      <c r="J345" t="n">
        <v>0</v>
      </c>
      <c r="K345" t="n">
        <v>0</v>
      </c>
      <c r="L345" t="n">
        <v>0</v>
      </c>
      <c r="M345" t="n">
        <v>0</v>
      </c>
      <c r="N345" t="n">
        <v>0</v>
      </c>
      <c r="O345" t="n">
        <v>0</v>
      </c>
      <c r="P345" t="n">
        <v>0</v>
      </c>
      <c r="Q345" t="n">
        <v>2</v>
      </c>
      <c r="R345" s="2" t="inlineStr">
        <is>
          <t>Svart trolldruva
Fläcknycklar</t>
        </is>
      </c>
      <c r="S345">
        <f>HYPERLINK("https://klasma.github.io/Logging_1496/artfynd/A 2579-2023 artfynd.xlsx", "A 2579-2023")</f>
        <v/>
      </c>
      <c r="T345">
        <f>HYPERLINK("https://klasma.github.io/Logging_1496/kartor/A 2579-2023 karta.png", "A 2579-2023")</f>
        <v/>
      </c>
      <c r="V345">
        <f>HYPERLINK("https://klasma.github.io/Logging_1496/klagomål/A 2579-2023 FSC-klagomål.docx", "A 2579-2023")</f>
        <v/>
      </c>
      <c r="W345">
        <f>HYPERLINK("https://klasma.github.io/Logging_1496/klagomålsmail/A 2579-2023 FSC-klagomål mail.docx", "A 2579-2023")</f>
        <v/>
      </c>
      <c r="X345">
        <f>HYPERLINK("https://klasma.github.io/Logging_1496/tillsyn/A 2579-2023 tillsynsbegäran.docx", "A 2579-2023")</f>
        <v/>
      </c>
      <c r="Y345">
        <f>HYPERLINK("https://klasma.github.io/Logging_1496/tillsynsmail/A 2579-2023 tillsynsbegäran mail.docx", "A 2579-2023")</f>
        <v/>
      </c>
    </row>
    <row r="346" ht="15" customHeight="1">
      <c r="A346" t="inlineStr">
        <is>
          <t>A 61131-2025</t>
        </is>
      </c>
      <c r="B346" s="1" t="n">
        <v>46000.49008101852</v>
      </c>
      <c r="C346" s="1" t="n">
        <v>46011</v>
      </c>
      <c r="D346" t="inlineStr">
        <is>
          <t>VÄSTRA GÖTALANDS LÄN</t>
        </is>
      </c>
      <c r="E346" t="inlineStr">
        <is>
          <t>MARK</t>
        </is>
      </c>
      <c r="G346" t="n">
        <v>11.1</v>
      </c>
      <c r="H346" t="n">
        <v>1</v>
      </c>
      <c r="I346" t="n">
        <v>1</v>
      </c>
      <c r="J346" t="n">
        <v>0</v>
      </c>
      <c r="K346" t="n">
        <v>1</v>
      </c>
      <c r="L346" t="n">
        <v>0</v>
      </c>
      <c r="M346" t="n">
        <v>0</v>
      </c>
      <c r="N346" t="n">
        <v>0</v>
      </c>
      <c r="O346" t="n">
        <v>1</v>
      </c>
      <c r="P346" t="n">
        <v>1</v>
      </c>
      <c r="Q346" t="n">
        <v>2</v>
      </c>
      <c r="R346" s="2" t="inlineStr">
        <is>
          <t>Knärot
Blomkålssvamp</t>
        </is>
      </c>
      <c r="S346">
        <f>HYPERLINK("https://klasma.github.io/Logging_1463/artfynd/A 61131-2025 artfynd.xlsx", "A 61131-2025")</f>
        <v/>
      </c>
      <c r="T346">
        <f>HYPERLINK("https://klasma.github.io/Logging_1463/kartor/A 61131-2025 karta.png", "A 61131-2025")</f>
        <v/>
      </c>
      <c r="U346">
        <f>HYPERLINK("https://klasma.github.io/Logging_1463/knärot/A 61131-2025 karta knärot.png", "A 61131-2025")</f>
        <v/>
      </c>
      <c r="V346">
        <f>HYPERLINK("https://klasma.github.io/Logging_1463/klagomål/A 61131-2025 FSC-klagomål.docx", "A 61131-2025")</f>
        <v/>
      </c>
      <c r="W346">
        <f>HYPERLINK("https://klasma.github.io/Logging_1463/klagomålsmail/A 61131-2025 FSC-klagomål mail.docx", "A 61131-2025")</f>
        <v/>
      </c>
      <c r="X346">
        <f>HYPERLINK("https://klasma.github.io/Logging_1463/tillsyn/A 61131-2025 tillsynsbegäran.docx", "A 61131-2025")</f>
        <v/>
      </c>
      <c r="Y346">
        <f>HYPERLINK("https://klasma.github.io/Logging_1463/tillsynsmail/A 61131-2025 tillsynsbegäran mail.docx", "A 61131-2025")</f>
        <v/>
      </c>
    </row>
    <row r="347" ht="15" customHeight="1">
      <c r="A347" t="inlineStr">
        <is>
          <t>A 19851-2025</t>
        </is>
      </c>
      <c r="B347" s="1" t="n">
        <v>45771.49649305556</v>
      </c>
      <c r="C347" s="1" t="n">
        <v>46011</v>
      </c>
      <c r="D347" t="inlineStr">
        <is>
          <t>VÄSTRA GÖTALANDS LÄN</t>
        </is>
      </c>
      <c r="E347" t="inlineStr">
        <is>
          <t>KARLSBORG</t>
        </is>
      </c>
      <c r="F347" t="inlineStr">
        <is>
          <t>Sveaskog</t>
        </is>
      </c>
      <c r="G347" t="n">
        <v>4.9</v>
      </c>
      <c r="H347" t="n">
        <v>2</v>
      </c>
      <c r="I347" t="n">
        <v>0</v>
      </c>
      <c r="J347" t="n">
        <v>0</v>
      </c>
      <c r="K347" t="n">
        <v>1</v>
      </c>
      <c r="L347" t="n">
        <v>0</v>
      </c>
      <c r="M347" t="n">
        <v>0</v>
      </c>
      <c r="N347" t="n">
        <v>0</v>
      </c>
      <c r="O347" t="n">
        <v>1</v>
      </c>
      <c r="P347" t="n">
        <v>1</v>
      </c>
      <c r="Q347" t="n">
        <v>2</v>
      </c>
      <c r="R347" s="2" t="inlineStr">
        <is>
          <t>Knärot
Kungsfågel</t>
        </is>
      </c>
      <c r="S347">
        <f>HYPERLINK("https://klasma.github.io/Logging_1446/artfynd/A 19851-2025 artfynd.xlsx", "A 19851-2025")</f>
        <v/>
      </c>
      <c r="T347">
        <f>HYPERLINK("https://klasma.github.io/Logging_1446/kartor/A 19851-2025 karta.png", "A 19851-2025")</f>
        <v/>
      </c>
      <c r="U347">
        <f>HYPERLINK("https://klasma.github.io/Logging_1446/knärot/A 19851-2025 karta knärot.png", "A 19851-2025")</f>
        <v/>
      </c>
      <c r="V347">
        <f>HYPERLINK("https://klasma.github.io/Logging_1446/klagomål/A 19851-2025 FSC-klagomål.docx", "A 19851-2025")</f>
        <v/>
      </c>
      <c r="W347">
        <f>HYPERLINK("https://klasma.github.io/Logging_1446/klagomålsmail/A 19851-2025 FSC-klagomål mail.docx", "A 19851-2025")</f>
        <v/>
      </c>
      <c r="X347">
        <f>HYPERLINK("https://klasma.github.io/Logging_1446/tillsyn/A 19851-2025 tillsynsbegäran.docx", "A 19851-2025")</f>
        <v/>
      </c>
      <c r="Y347">
        <f>HYPERLINK("https://klasma.github.io/Logging_1446/tillsynsmail/A 19851-2025 tillsynsbegäran mail.docx", "A 19851-2025")</f>
        <v/>
      </c>
      <c r="Z347">
        <f>HYPERLINK("https://klasma.github.io/Logging_1446/fåglar/A 19851-2025 prioriterade fågelarter.docx", "A 19851-2025")</f>
        <v/>
      </c>
    </row>
    <row r="348" ht="15" customHeight="1">
      <c r="A348" t="inlineStr">
        <is>
          <t>A 29344-2021</t>
        </is>
      </c>
      <c r="B348" s="1" t="n">
        <v>44361</v>
      </c>
      <c r="C348" s="1" t="n">
        <v>46011</v>
      </c>
      <c r="D348" t="inlineStr">
        <is>
          <t>VÄSTRA GÖTALANDS LÄN</t>
        </is>
      </c>
      <c r="E348" t="inlineStr">
        <is>
          <t>MUNKEDAL</t>
        </is>
      </c>
      <c r="G348" t="n">
        <v>10.6</v>
      </c>
      <c r="H348" t="n">
        <v>1</v>
      </c>
      <c r="I348" t="n">
        <v>2</v>
      </c>
      <c r="J348" t="n">
        <v>0</v>
      </c>
      <c r="K348" t="n">
        <v>0</v>
      </c>
      <c r="L348" t="n">
        <v>0</v>
      </c>
      <c r="M348" t="n">
        <v>0</v>
      </c>
      <c r="N348" t="n">
        <v>0</v>
      </c>
      <c r="O348" t="n">
        <v>0</v>
      </c>
      <c r="P348" t="n">
        <v>0</v>
      </c>
      <c r="Q348" t="n">
        <v>2</v>
      </c>
      <c r="R348" s="2" t="inlineStr">
        <is>
          <t>Dunmossa
Grön sköldmossa</t>
        </is>
      </c>
      <c r="S348">
        <f>HYPERLINK("https://klasma.github.io/Logging_1430/artfynd/A 29344-2021 artfynd.xlsx", "A 29344-2021")</f>
        <v/>
      </c>
      <c r="T348">
        <f>HYPERLINK("https://klasma.github.io/Logging_1430/kartor/A 29344-2021 karta.png", "A 29344-2021")</f>
        <v/>
      </c>
      <c r="V348">
        <f>HYPERLINK("https://klasma.github.io/Logging_1430/klagomål/A 29344-2021 FSC-klagomål.docx", "A 29344-2021")</f>
        <v/>
      </c>
      <c r="W348">
        <f>HYPERLINK("https://klasma.github.io/Logging_1430/klagomålsmail/A 29344-2021 FSC-klagomål mail.docx", "A 29344-2021")</f>
        <v/>
      </c>
      <c r="X348">
        <f>HYPERLINK("https://klasma.github.io/Logging_1430/tillsyn/A 29344-2021 tillsynsbegäran.docx", "A 29344-2021")</f>
        <v/>
      </c>
      <c r="Y348">
        <f>HYPERLINK("https://klasma.github.io/Logging_1430/tillsynsmail/A 29344-2021 tillsynsbegäran mail.docx", "A 29344-2021")</f>
        <v/>
      </c>
    </row>
    <row r="349" ht="15" customHeight="1">
      <c r="A349" t="inlineStr">
        <is>
          <t>A 63569-2023</t>
        </is>
      </c>
      <c r="B349" s="1" t="n">
        <v>45275</v>
      </c>
      <c r="C349" s="1" t="n">
        <v>46011</v>
      </c>
      <c r="D349" t="inlineStr">
        <is>
          <t>VÄSTRA GÖTALANDS LÄN</t>
        </is>
      </c>
      <c r="E349" t="inlineStr">
        <is>
          <t>ALE</t>
        </is>
      </c>
      <c r="G349" t="n">
        <v>2.4</v>
      </c>
      <c r="H349" t="n">
        <v>2</v>
      </c>
      <c r="I349" t="n">
        <v>0</v>
      </c>
      <c r="J349" t="n">
        <v>2</v>
      </c>
      <c r="K349" t="n">
        <v>0</v>
      </c>
      <c r="L349" t="n">
        <v>0</v>
      </c>
      <c r="M349" t="n">
        <v>0</v>
      </c>
      <c r="N349" t="n">
        <v>0</v>
      </c>
      <c r="O349" t="n">
        <v>2</v>
      </c>
      <c r="P349" t="n">
        <v>0</v>
      </c>
      <c r="Q349" t="n">
        <v>2</v>
      </c>
      <c r="R349" s="2" t="inlineStr">
        <is>
          <t>Spillkråka
Talltita</t>
        </is>
      </c>
      <c r="S349">
        <f>HYPERLINK("https://klasma.github.io/Logging_1440/artfynd/A 63569-2023 artfynd.xlsx", "A 63569-2023")</f>
        <v/>
      </c>
      <c r="T349">
        <f>HYPERLINK("https://klasma.github.io/Logging_1440/kartor/A 63569-2023 karta.png", "A 63569-2023")</f>
        <v/>
      </c>
      <c r="V349">
        <f>HYPERLINK("https://klasma.github.io/Logging_1440/klagomål/A 63569-2023 FSC-klagomål.docx", "A 63569-2023")</f>
        <v/>
      </c>
      <c r="W349">
        <f>HYPERLINK("https://klasma.github.io/Logging_1440/klagomålsmail/A 63569-2023 FSC-klagomål mail.docx", "A 63569-2023")</f>
        <v/>
      </c>
      <c r="X349">
        <f>HYPERLINK("https://klasma.github.io/Logging_1440/tillsyn/A 63569-2023 tillsynsbegäran.docx", "A 63569-2023")</f>
        <v/>
      </c>
      <c r="Y349">
        <f>HYPERLINK("https://klasma.github.io/Logging_1440/tillsynsmail/A 63569-2023 tillsynsbegäran mail.docx", "A 63569-2023")</f>
        <v/>
      </c>
      <c r="Z349">
        <f>HYPERLINK("https://klasma.github.io/Logging_1440/fåglar/A 63569-2023 prioriterade fågelarter.docx", "A 63569-2023")</f>
        <v/>
      </c>
    </row>
    <row r="350" ht="15" customHeight="1">
      <c r="A350" t="inlineStr">
        <is>
          <t>A 61493-2025</t>
        </is>
      </c>
      <c r="B350" s="1" t="n">
        <v>46001.64429398148</v>
      </c>
      <c r="C350" s="1" t="n">
        <v>46011</v>
      </c>
      <c r="D350" t="inlineStr">
        <is>
          <t>VÄSTRA GÖTALANDS LÄN</t>
        </is>
      </c>
      <c r="E350" t="inlineStr">
        <is>
          <t>MARK</t>
        </is>
      </c>
      <c r="G350" t="n">
        <v>12.5</v>
      </c>
      <c r="H350" t="n">
        <v>1</v>
      </c>
      <c r="I350" t="n">
        <v>1</v>
      </c>
      <c r="J350" t="n">
        <v>0</v>
      </c>
      <c r="K350" t="n">
        <v>1</v>
      </c>
      <c r="L350" t="n">
        <v>0</v>
      </c>
      <c r="M350" t="n">
        <v>0</v>
      </c>
      <c r="N350" t="n">
        <v>0</v>
      </c>
      <c r="O350" t="n">
        <v>1</v>
      </c>
      <c r="P350" t="n">
        <v>1</v>
      </c>
      <c r="Q350" t="n">
        <v>2</v>
      </c>
      <c r="R350" s="2" t="inlineStr">
        <is>
          <t>Knärot
Blomkålssvamp</t>
        </is>
      </c>
      <c r="S350">
        <f>HYPERLINK("https://klasma.github.io/Logging_1463/artfynd/A 61493-2025 artfynd.xlsx", "A 61493-2025")</f>
        <v/>
      </c>
      <c r="T350">
        <f>HYPERLINK("https://klasma.github.io/Logging_1463/kartor/A 61493-2025 karta.png", "A 61493-2025")</f>
        <v/>
      </c>
      <c r="U350">
        <f>HYPERLINK("https://klasma.github.io/Logging_1463/knärot/A 61493-2025 karta knärot.png", "A 61493-2025")</f>
        <v/>
      </c>
      <c r="V350">
        <f>HYPERLINK("https://klasma.github.io/Logging_1463/klagomål/A 61493-2025 FSC-klagomål.docx", "A 61493-2025")</f>
        <v/>
      </c>
      <c r="W350">
        <f>HYPERLINK("https://klasma.github.io/Logging_1463/klagomålsmail/A 61493-2025 FSC-klagomål mail.docx", "A 61493-2025")</f>
        <v/>
      </c>
      <c r="X350">
        <f>HYPERLINK("https://klasma.github.io/Logging_1463/tillsyn/A 61493-2025 tillsynsbegäran.docx", "A 61493-2025")</f>
        <v/>
      </c>
      <c r="Y350">
        <f>HYPERLINK("https://klasma.github.io/Logging_1463/tillsynsmail/A 61493-2025 tillsynsbegäran mail.docx", "A 61493-2025")</f>
        <v/>
      </c>
    </row>
    <row r="351" ht="15" customHeight="1">
      <c r="A351" t="inlineStr">
        <is>
          <t>A 58890-2022</t>
        </is>
      </c>
      <c r="B351" s="1" t="n">
        <v>44903</v>
      </c>
      <c r="C351" s="1" t="n">
        <v>46011</v>
      </c>
      <c r="D351" t="inlineStr">
        <is>
          <t>VÄSTRA GÖTALANDS LÄN</t>
        </is>
      </c>
      <c r="E351" t="inlineStr">
        <is>
          <t>MUNKEDAL</t>
        </is>
      </c>
      <c r="G351" t="n">
        <v>5.4</v>
      </c>
      <c r="H351" t="n">
        <v>0</v>
      </c>
      <c r="I351" t="n">
        <v>1</v>
      </c>
      <c r="J351" t="n">
        <v>1</v>
      </c>
      <c r="K351" t="n">
        <v>0</v>
      </c>
      <c r="L351" t="n">
        <v>0</v>
      </c>
      <c r="M351" t="n">
        <v>0</v>
      </c>
      <c r="N351" t="n">
        <v>0</v>
      </c>
      <c r="O351" t="n">
        <v>1</v>
      </c>
      <c r="P351" t="n">
        <v>0</v>
      </c>
      <c r="Q351" t="n">
        <v>2</v>
      </c>
      <c r="R351" s="2" t="inlineStr">
        <is>
          <t>Svart taggsvamp
Stor revmossa</t>
        </is>
      </c>
      <c r="S351">
        <f>HYPERLINK("https://klasma.github.io/Logging_1430/artfynd/A 58890-2022 artfynd.xlsx", "A 58890-2022")</f>
        <v/>
      </c>
      <c r="T351">
        <f>HYPERLINK("https://klasma.github.io/Logging_1430/kartor/A 58890-2022 karta.png", "A 58890-2022")</f>
        <v/>
      </c>
      <c r="V351">
        <f>HYPERLINK("https://klasma.github.io/Logging_1430/klagomål/A 58890-2022 FSC-klagomål.docx", "A 58890-2022")</f>
        <v/>
      </c>
      <c r="W351">
        <f>HYPERLINK("https://klasma.github.io/Logging_1430/klagomålsmail/A 58890-2022 FSC-klagomål mail.docx", "A 58890-2022")</f>
        <v/>
      </c>
      <c r="X351">
        <f>HYPERLINK("https://klasma.github.io/Logging_1430/tillsyn/A 58890-2022 tillsynsbegäran.docx", "A 58890-2022")</f>
        <v/>
      </c>
      <c r="Y351">
        <f>HYPERLINK("https://klasma.github.io/Logging_1430/tillsynsmail/A 58890-2022 tillsynsbegäran mail.docx", "A 58890-2022")</f>
        <v/>
      </c>
    </row>
    <row r="352" ht="15" customHeight="1">
      <c r="A352" t="inlineStr">
        <is>
          <t>A 30777-2023</t>
        </is>
      </c>
      <c r="B352" s="1" t="n">
        <v>45112</v>
      </c>
      <c r="C352" s="1" t="n">
        <v>46011</v>
      </c>
      <c r="D352" t="inlineStr">
        <is>
          <t>VÄSTRA GÖTALANDS LÄN</t>
        </is>
      </c>
      <c r="E352" t="inlineStr">
        <is>
          <t>BOLLEBYGD</t>
        </is>
      </c>
      <c r="G352" t="n">
        <v>6.2</v>
      </c>
      <c r="H352" t="n">
        <v>1</v>
      </c>
      <c r="I352" t="n">
        <v>1</v>
      </c>
      <c r="J352" t="n">
        <v>0</v>
      </c>
      <c r="K352" t="n">
        <v>0</v>
      </c>
      <c r="L352" t="n">
        <v>0</v>
      </c>
      <c r="M352" t="n">
        <v>0</v>
      </c>
      <c r="N352" t="n">
        <v>0</v>
      </c>
      <c r="O352" t="n">
        <v>0</v>
      </c>
      <c r="P352" t="n">
        <v>0</v>
      </c>
      <c r="Q352" t="n">
        <v>2</v>
      </c>
      <c r="R352" s="2" t="inlineStr">
        <is>
          <t>Vågbandad barkbock
Grönvit nattviol</t>
        </is>
      </c>
      <c r="S352">
        <f>HYPERLINK("https://klasma.github.io/Logging_1443/artfynd/A 30777-2023 artfynd.xlsx", "A 30777-2023")</f>
        <v/>
      </c>
      <c r="T352">
        <f>HYPERLINK("https://klasma.github.io/Logging_1443/kartor/A 30777-2023 karta.png", "A 30777-2023")</f>
        <v/>
      </c>
      <c r="V352">
        <f>HYPERLINK("https://klasma.github.io/Logging_1443/klagomål/A 30777-2023 FSC-klagomål.docx", "A 30777-2023")</f>
        <v/>
      </c>
      <c r="W352">
        <f>HYPERLINK("https://klasma.github.io/Logging_1443/klagomålsmail/A 30777-2023 FSC-klagomål mail.docx", "A 30777-2023")</f>
        <v/>
      </c>
      <c r="X352">
        <f>HYPERLINK("https://klasma.github.io/Logging_1443/tillsyn/A 30777-2023 tillsynsbegäran.docx", "A 30777-2023")</f>
        <v/>
      </c>
      <c r="Y352">
        <f>HYPERLINK("https://klasma.github.io/Logging_1443/tillsynsmail/A 30777-2023 tillsynsbegäran mail.docx", "A 30777-2023")</f>
        <v/>
      </c>
    </row>
    <row r="353" ht="15" customHeight="1">
      <c r="A353" t="inlineStr">
        <is>
          <t>A 6055-2024</t>
        </is>
      </c>
      <c r="B353" s="1" t="n">
        <v>45336</v>
      </c>
      <c r="C353" s="1" t="n">
        <v>46011</v>
      </c>
      <c r="D353" t="inlineStr">
        <is>
          <t>VÄSTRA GÖTALANDS LÄN</t>
        </is>
      </c>
      <c r="E353" t="inlineStr">
        <is>
          <t>ORUST</t>
        </is>
      </c>
      <c r="G353" t="n">
        <v>24.1</v>
      </c>
      <c r="H353" t="n">
        <v>2</v>
      </c>
      <c r="I353" t="n">
        <v>0</v>
      </c>
      <c r="J353" t="n">
        <v>0</v>
      </c>
      <c r="K353" t="n">
        <v>0</v>
      </c>
      <c r="L353" t="n">
        <v>0</v>
      </c>
      <c r="M353" t="n">
        <v>0</v>
      </c>
      <c r="N353" t="n">
        <v>0</v>
      </c>
      <c r="O353" t="n">
        <v>0</v>
      </c>
      <c r="P353" t="n">
        <v>0</v>
      </c>
      <c r="Q353" t="n">
        <v>2</v>
      </c>
      <c r="R353" s="2" t="inlineStr">
        <is>
          <t>Revlummer
Äkta lopplummer</t>
        </is>
      </c>
      <c r="S353">
        <f>HYPERLINK("https://klasma.github.io/Logging_1421/artfynd/A 6055-2024 artfynd.xlsx", "A 6055-2024")</f>
        <v/>
      </c>
      <c r="T353">
        <f>HYPERLINK("https://klasma.github.io/Logging_1421/kartor/A 6055-2024 karta.png", "A 6055-2024")</f>
        <v/>
      </c>
      <c r="V353">
        <f>HYPERLINK("https://klasma.github.io/Logging_1421/klagomål/A 6055-2024 FSC-klagomål.docx", "A 6055-2024")</f>
        <v/>
      </c>
      <c r="W353">
        <f>HYPERLINK("https://klasma.github.io/Logging_1421/klagomålsmail/A 6055-2024 FSC-klagomål mail.docx", "A 6055-2024")</f>
        <v/>
      </c>
      <c r="X353">
        <f>HYPERLINK("https://klasma.github.io/Logging_1421/tillsyn/A 6055-2024 tillsynsbegäran.docx", "A 6055-2024")</f>
        <v/>
      </c>
      <c r="Y353">
        <f>HYPERLINK("https://klasma.github.io/Logging_1421/tillsynsmail/A 6055-2024 tillsynsbegäran mail.docx", "A 6055-2024")</f>
        <v/>
      </c>
    </row>
    <row r="354" ht="15" customHeight="1">
      <c r="A354" t="inlineStr">
        <is>
          <t>A 53007-2025</t>
        </is>
      </c>
      <c r="B354" s="1" t="n">
        <v>45957</v>
      </c>
      <c r="C354" s="1" t="n">
        <v>46011</v>
      </c>
      <c r="D354" t="inlineStr">
        <is>
          <t>VÄSTRA GÖTALANDS LÄN</t>
        </is>
      </c>
      <c r="E354" t="inlineStr">
        <is>
          <t>KUNGÄLV</t>
        </is>
      </c>
      <c r="G354" t="n">
        <v>2.9</v>
      </c>
      <c r="H354" t="n">
        <v>1</v>
      </c>
      <c r="I354" t="n">
        <v>1</v>
      </c>
      <c r="J354" t="n">
        <v>1</v>
      </c>
      <c r="K354" t="n">
        <v>0</v>
      </c>
      <c r="L354" t="n">
        <v>0</v>
      </c>
      <c r="M354" t="n">
        <v>0</v>
      </c>
      <c r="N354" t="n">
        <v>0</v>
      </c>
      <c r="O354" t="n">
        <v>1</v>
      </c>
      <c r="P354" t="n">
        <v>0</v>
      </c>
      <c r="Q354" t="n">
        <v>2</v>
      </c>
      <c r="R354" s="2" t="inlineStr">
        <is>
          <t>Spillkråka
Västlig hakmossa</t>
        </is>
      </c>
      <c r="S354">
        <f>HYPERLINK("https://klasma.github.io/Logging_1482/artfynd/A 53007-2025 artfynd.xlsx", "A 53007-2025")</f>
        <v/>
      </c>
      <c r="T354">
        <f>HYPERLINK("https://klasma.github.io/Logging_1482/kartor/A 53007-2025 karta.png", "A 53007-2025")</f>
        <v/>
      </c>
      <c r="V354">
        <f>HYPERLINK("https://klasma.github.io/Logging_1482/klagomål/A 53007-2025 FSC-klagomål.docx", "A 53007-2025")</f>
        <v/>
      </c>
      <c r="W354">
        <f>HYPERLINK("https://klasma.github.io/Logging_1482/klagomålsmail/A 53007-2025 FSC-klagomål mail.docx", "A 53007-2025")</f>
        <v/>
      </c>
      <c r="X354">
        <f>HYPERLINK("https://klasma.github.io/Logging_1482/tillsyn/A 53007-2025 tillsynsbegäran.docx", "A 53007-2025")</f>
        <v/>
      </c>
      <c r="Y354">
        <f>HYPERLINK("https://klasma.github.io/Logging_1482/tillsynsmail/A 53007-2025 tillsynsbegäran mail.docx", "A 53007-2025")</f>
        <v/>
      </c>
      <c r="Z354">
        <f>HYPERLINK("https://klasma.github.io/Logging_1482/fåglar/A 53007-2025 prioriterade fågelarter.docx", "A 53007-2025")</f>
        <v/>
      </c>
    </row>
    <row r="355" ht="15" customHeight="1">
      <c r="A355" t="inlineStr">
        <is>
          <t>A 13912-2025</t>
        </is>
      </c>
      <c r="B355" s="1" t="n">
        <v>45737</v>
      </c>
      <c r="C355" s="1" t="n">
        <v>46011</v>
      </c>
      <c r="D355" t="inlineStr">
        <is>
          <t>VÄSTRA GÖTALANDS LÄN</t>
        </is>
      </c>
      <c r="E355" t="inlineStr">
        <is>
          <t>STENUNGSUND</t>
        </is>
      </c>
      <c r="G355" t="n">
        <v>6.4</v>
      </c>
      <c r="H355" t="n">
        <v>2</v>
      </c>
      <c r="I355" t="n">
        <v>0</v>
      </c>
      <c r="J355" t="n">
        <v>1</v>
      </c>
      <c r="K355" t="n">
        <v>0</v>
      </c>
      <c r="L355" t="n">
        <v>0</v>
      </c>
      <c r="M355" t="n">
        <v>0</v>
      </c>
      <c r="N355" t="n">
        <v>0</v>
      </c>
      <c r="O355" t="n">
        <v>1</v>
      </c>
      <c r="P355" t="n">
        <v>0</v>
      </c>
      <c r="Q355" t="n">
        <v>2</v>
      </c>
      <c r="R355" s="2" t="inlineStr">
        <is>
          <t>Spillkråka
Tjäder</t>
        </is>
      </c>
      <c r="S355">
        <f>HYPERLINK("https://klasma.github.io/Logging_1415/artfynd/A 13912-2025 artfynd.xlsx", "A 13912-2025")</f>
        <v/>
      </c>
      <c r="T355">
        <f>HYPERLINK("https://klasma.github.io/Logging_1415/kartor/A 13912-2025 karta.png", "A 13912-2025")</f>
        <v/>
      </c>
      <c r="V355">
        <f>HYPERLINK("https://klasma.github.io/Logging_1415/klagomål/A 13912-2025 FSC-klagomål.docx", "A 13912-2025")</f>
        <v/>
      </c>
      <c r="W355">
        <f>HYPERLINK("https://klasma.github.io/Logging_1415/klagomålsmail/A 13912-2025 FSC-klagomål mail.docx", "A 13912-2025")</f>
        <v/>
      </c>
      <c r="X355">
        <f>HYPERLINK("https://klasma.github.io/Logging_1415/tillsyn/A 13912-2025 tillsynsbegäran.docx", "A 13912-2025")</f>
        <v/>
      </c>
      <c r="Y355">
        <f>HYPERLINK("https://klasma.github.io/Logging_1415/tillsynsmail/A 13912-2025 tillsynsbegäran mail.docx", "A 13912-2025")</f>
        <v/>
      </c>
      <c r="Z355">
        <f>HYPERLINK("https://klasma.github.io/Logging_1415/fåglar/A 13912-2025 prioriterade fågelarter.docx", "A 13912-2025")</f>
        <v/>
      </c>
    </row>
    <row r="356" ht="15" customHeight="1">
      <c r="A356" t="inlineStr">
        <is>
          <t>A 434-2024</t>
        </is>
      </c>
      <c r="B356" s="1" t="n">
        <v>45296.57905092592</v>
      </c>
      <c r="C356" s="1" t="n">
        <v>46011</v>
      </c>
      <c r="D356" t="inlineStr">
        <is>
          <t>VÄSTRA GÖTALANDS LÄN</t>
        </is>
      </c>
      <c r="E356" t="inlineStr">
        <is>
          <t>LILLA EDET</t>
        </is>
      </c>
      <c r="F356" t="inlineStr">
        <is>
          <t>Kommuner</t>
        </is>
      </c>
      <c r="G356" t="n">
        <v>6.3</v>
      </c>
      <c r="H356" t="n">
        <v>1</v>
      </c>
      <c r="I356" t="n">
        <v>1</v>
      </c>
      <c r="J356" t="n">
        <v>0</v>
      </c>
      <c r="K356" t="n">
        <v>0</v>
      </c>
      <c r="L356" t="n">
        <v>0</v>
      </c>
      <c r="M356" t="n">
        <v>0</v>
      </c>
      <c r="N356" t="n">
        <v>0</v>
      </c>
      <c r="O356" t="n">
        <v>0</v>
      </c>
      <c r="P356" t="n">
        <v>0</v>
      </c>
      <c r="Q356" t="n">
        <v>2</v>
      </c>
      <c r="R356" s="2" t="inlineStr">
        <is>
          <t>Västlig hakmossa
Revlummer</t>
        </is>
      </c>
      <c r="S356">
        <f>HYPERLINK("https://klasma.github.io/Logging_1462/artfynd/A 434-2024 artfynd.xlsx", "A 434-2024")</f>
        <v/>
      </c>
      <c r="T356">
        <f>HYPERLINK("https://klasma.github.io/Logging_1462/kartor/A 434-2024 karta.png", "A 434-2024")</f>
        <v/>
      </c>
      <c r="V356">
        <f>HYPERLINK("https://klasma.github.io/Logging_1462/klagomål/A 434-2024 FSC-klagomål.docx", "A 434-2024")</f>
        <v/>
      </c>
      <c r="W356">
        <f>HYPERLINK("https://klasma.github.io/Logging_1462/klagomålsmail/A 434-2024 FSC-klagomål mail.docx", "A 434-2024")</f>
        <v/>
      </c>
      <c r="X356">
        <f>HYPERLINK("https://klasma.github.io/Logging_1462/tillsyn/A 434-2024 tillsynsbegäran.docx", "A 434-2024")</f>
        <v/>
      </c>
      <c r="Y356">
        <f>HYPERLINK("https://klasma.github.io/Logging_1462/tillsynsmail/A 434-2024 tillsynsbegäran mail.docx", "A 434-2024")</f>
        <v/>
      </c>
    </row>
    <row r="357" ht="15" customHeight="1">
      <c r="A357" t="inlineStr">
        <is>
          <t>A 28849-2024</t>
        </is>
      </c>
      <c r="B357" s="1" t="n">
        <v>45478.77283564815</v>
      </c>
      <c r="C357" s="1" t="n">
        <v>46011</v>
      </c>
      <c r="D357" t="inlineStr">
        <is>
          <t>VÄSTRA GÖTALANDS LÄN</t>
        </is>
      </c>
      <c r="E357" t="inlineStr">
        <is>
          <t>LIDKÖPING</t>
        </is>
      </c>
      <c r="G357" t="n">
        <v>2.6</v>
      </c>
      <c r="H357" t="n">
        <v>2</v>
      </c>
      <c r="I357" t="n">
        <v>0</v>
      </c>
      <c r="J357" t="n">
        <v>2</v>
      </c>
      <c r="K357" t="n">
        <v>0</v>
      </c>
      <c r="L357" t="n">
        <v>0</v>
      </c>
      <c r="M357" t="n">
        <v>0</v>
      </c>
      <c r="N357" t="n">
        <v>0</v>
      </c>
      <c r="O357" t="n">
        <v>2</v>
      </c>
      <c r="P357" t="n">
        <v>0</v>
      </c>
      <c r="Q357" t="n">
        <v>2</v>
      </c>
      <c r="R357" s="2" t="inlineStr">
        <is>
          <t>Entita
Talltita</t>
        </is>
      </c>
      <c r="S357">
        <f>HYPERLINK("https://klasma.github.io/Logging_1494/artfynd/A 28849-2024 artfynd.xlsx", "A 28849-2024")</f>
        <v/>
      </c>
      <c r="T357">
        <f>HYPERLINK("https://klasma.github.io/Logging_1494/kartor/A 28849-2024 karta.png", "A 28849-2024")</f>
        <v/>
      </c>
      <c r="V357">
        <f>HYPERLINK("https://klasma.github.io/Logging_1494/klagomål/A 28849-2024 FSC-klagomål.docx", "A 28849-2024")</f>
        <v/>
      </c>
      <c r="W357">
        <f>HYPERLINK("https://klasma.github.io/Logging_1494/klagomålsmail/A 28849-2024 FSC-klagomål mail.docx", "A 28849-2024")</f>
        <v/>
      </c>
      <c r="X357">
        <f>HYPERLINK("https://klasma.github.io/Logging_1494/tillsyn/A 28849-2024 tillsynsbegäran.docx", "A 28849-2024")</f>
        <v/>
      </c>
      <c r="Y357">
        <f>HYPERLINK("https://klasma.github.io/Logging_1494/tillsynsmail/A 28849-2024 tillsynsbegäran mail.docx", "A 28849-2024")</f>
        <v/>
      </c>
      <c r="Z357">
        <f>HYPERLINK("https://klasma.github.io/Logging_1494/fåglar/A 28849-2024 prioriterade fågelarter.docx", "A 28849-2024")</f>
        <v/>
      </c>
    </row>
    <row r="358" ht="15" customHeight="1">
      <c r="A358" t="inlineStr">
        <is>
          <t>A 47764-2023</t>
        </is>
      </c>
      <c r="B358" s="1" t="n">
        <v>45203</v>
      </c>
      <c r="C358" s="1" t="n">
        <v>46011</v>
      </c>
      <c r="D358" t="inlineStr">
        <is>
          <t>VÄSTRA GÖTALANDS LÄN</t>
        </is>
      </c>
      <c r="E358" t="inlineStr">
        <is>
          <t>MARIESTAD</t>
        </is>
      </c>
      <c r="G358" t="n">
        <v>0.7</v>
      </c>
      <c r="H358" t="n">
        <v>2</v>
      </c>
      <c r="I358" t="n">
        <v>0</v>
      </c>
      <c r="J358" t="n">
        <v>0</v>
      </c>
      <c r="K358" t="n">
        <v>0</v>
      </c>
      <c r="L358" t="n">
        <v>0</v>
      </c>
      <c r="M358" t="n">
        <v>0</v>
      </c>
      <c r="N358" t="n">
        <v>0</v>
      </c>
      <c r="O358" t="n">
        <v>0</v>
      </c>
      <c r="P358" t="n">
        <v>0</v>
      </c>
      <c r="Q358" t="n">
        <v>2</v>
      </c>
      <c r="R358" s="2" t="inlineStr">
        <is>
          <t>Blåsippa
Gullviva</t>
        </is>
      </c>
      <c r="S358">
        <f>HYPERLINK("https://klasma.github.io/Logging_1493/artfynd/A 47764-2023 artfynd.xlsx", "A 47764-2023")</f>
        <v/>
      </c>
      <c r="T358">
        <f>HYPERLINK("https://klasma.github.io/Logging_1493/kartor/A 47764-2023 karta.png", "A 47764-2023")</f>
        <v/>
      </c>
      <c r="V358">
        <f>HYPERLINK("https://klasma.github.io/Logging_1493/klagomål/A 47764-2023 FSC-klagomål.docx", "A 47764-2023")</f>
        <v/>
      </c>
      <c r="W358">
        <f>HYPERLINK("https://klasma.github.io/Logging_1493/klagomålsmail/A 47764-2023 FSC-klagomål mail.docx", "A 47764-2023")</f>
        <v/>
      </c>
      <c r="X358">
        <f>HYPERLINK("https://klasma.github.io/Logging_1493/tillsyn/A 47764-2023 tillsynsbegäran.docx", "A 47764-2023")</f>
        <v/>
      </c>
      <c r="Y358">
        <f>HYPERLINK("https://klasma.github.io/Logging_1493/tillsynsmail/A 47764-2023 tillsynsbegäran mail.docx", "A 47764-2023")</f>
        <v/>
      </c>
    </row>
    <row r="359" ht="15" customHeight="1">
      <c r="A359" t="inlineStr">
        <is>
          <t>A 32523-2024</t>
        </is>
      </c>
      <c r="B359" s="1" t="n">
        <v>45513.47328703704</v>
      </c>
      <c r="C359" s="1" t="n">
        <v>46011</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Grönhjon
Granbarkgnagare</t>
        </is>
      </c>
      <c r="S359">
        <f>HYPERLINK("https://klasma.github.io/Logging_1485/artfynd/A 32523-2024 artfynd.xlsx", "A 32523-2024")</f>
        <v/>
      </c>
      <c r="T359">
        <f>HYPERLINK("https://klasma.github.io/Logging_1485/kartor/A 32523-2024 karta.png", "A 32523-2024")</f>
        <v/>
      </c>
      <c r="V359">
        <f>HYPERLINK("https://klasma.github.io/Logging_1485/klagomål/A 32523-2024 FSC-klagomål.docx", "A 32523-2024")</f>
        <v/>
      </c>
      <c r="W359">
        <f>HYPERLINK("https://klasma.github.io/Logging_1485/klagomålsmail/A 32523-2024 FSC-klagomål mail.docx", "A 32523-2024")</f>
        <v/>
      </c>
      <c r="X359">
        <f>HYPERLINK("https://klasma.github.io/Logging_1485/tillsyn/A 32523-2024 tillsynsbegäran.docx", "A 32523-2024")</f>
        <v/>
      </c>
      <c r="Y359">
        <f>HYPERLINK("https://klasma.github.io/Logging_1485/tillsynsmail/A 32523-2024 tillsynsbegäran mail.docx", "A 32523-2024")</f>
        <v/>
      </c>
    </row>
    <row r="360" ht="15" customHeight="1">
      <c r="A360" t="inlineStr">
        <is>
          <t>A 7823-2022</t>
        </is>
      </c>
      <c r="B360" s="1" t="n">
        <v>44608</v>
      </c>
      <c r="C360" s="1" t="n">
        <v>46011</v>
      </c>
      <c r="D360" t="inlineStr">
        <is>
          <t>VÄSTRA GÖTALANDS LÄN</t>
        </is>
      </c>
      <c r="E360" t="inlineStr">
        <is>
          <t>TÖREBODA</t>
        </is>
      </c>
      <c r="G360" t="n">
        <v>21.5</v>
      </c>
      <c r="H360" t="n">
        <v>2</v>
      </c>
      <c r="I360" t="n">
        <v>0</v>
      </c>
      <c r="J360" t="n">
        <v>0</v>
      </c>
      <c r="K360" t="n">
        <v>0</v>
      </c>
      <c r="L360" t="n">
        <v>0</v>
      </c>
      <c r="M360" t="n">
        <v>0</v>
      </c>
      <c r="N360" t="n">
        <v>0</v>
      </c>
      <c r="O360" t="n">
        <v>0</v>
      </c>
      <c r="P360" t="n">
        <v>0</v>
      </c>
      <c r="Q360" t="n">
        <v>2</v>
      </c>
      <c r="R360" s="2" t="inlineStr">
        <is>
          <t>Fläcknycklar
Grönvit nattviol</t>
        </is>
      </c>
      <c r="S360">
        <f>HYPERLINK("https://klasma.github.io/Logging_1473/artfynd/A 7823-2022 artfynd.xlsx", "A 7823-2022")</f>
        <v/>
      </c>
      <c r="T360">
        <f>HYPERLINK("https://klasma.github.io/Logging_1473/kartor/A 7823-2022 karta.png", "A 7823-2022")</f>
        <v/>
      </c>
      <c r="V360">
        <f>HYPERLINK("https://klasma.github.io/Logging_1473/klagomål/A 7823-2022 FSC-klagomål.docx", "A 7823-2022")</f>
        <v/>
      </c>
      <c r="W360">
        <f>HYPERLINK("https://klasma.github.io/Logging_1473/klagomålsmail/A 7823-2022 FSC-klagomål mail.docx", "A 7823-2022")</f>
        <v/>
      </c>
      <c r="X360">
        <f>HYPERLINK("https://klasma.github.io/Logging_1473/tillsyn/A 7823-2022 tillsynsbegäran.docx", "A 7823-2022")</f>
        <v/>
      </c>
      <c r="Y360">
        <f>HYPERLINK("https://klasma.github.io/Logging_1473/tillsynsmail/A 7823-2022 tillsynsbegäran mail.docx", "A 7823-2022")</f>
        <v/>
      </c>
    </row>
    <row r="361" ht="15" customHeight="1">
      <c r="A361" t="inlineStr">
        <is>
          <t>A 19676-2024</t>
        </is>
      </c>
      <c r="B361" s="1" t="n">
        <v>45432</v>
      </c>
      <c r="C361" s="1" t="n">
        <v>46011</v>
      </c>
      <c r="D361" t="inlineStr">
        <is>
          <t>VÄSTRA GÖTALANDS LÄN</t>
        </is>
      </c>
      <c r="E361" t="inlineStr">
        <is>
          <t>UDDEVALLA</t>
        </is>
      </c>
      <c r="G361" t="n">
        <v>10.3</v>
      </c>
      <c r="H361" t="n">
        <v>0</v>
      </c>
      <c r="I361" t="n">
        <v>2</v>
      </c>
      <c r="J361" t="n">
        <v>0</v>
      </c>
      <c r="K361" t="n">
        <v>0</v>
      </c>
      <c r="L361" t="n">
        <v>0</v>
      </c>
      <c r="M361" t="n">
        <v>0</v>
      </c>
      <c r="N361" t="n">
        <v>0</v>
      </c>
      <c r="O361" t="n">
        <v>0</v>
      </c>
      <c r="P361" t="n">
        <v>0</v>
      </c>
      <c r="Q361" t="n">
        <v>2</v>
      </c>
      <c r="R361" s="2" t="inlineStr">
        <is>
          <t>Hässleklocka
Springkorn</t>
        </is>
      </c>
      <c r="S361">
        <f>HYPERLINK("https://klasma.github.io/Logging_1485/artfynd/A 19676-2024 artfynd.xlsx", "A 19676-2024")</f>
        <v/>
      </c>
      <c r="T361">
        <f>HYPERLINK("https://klasma.github.io/Logging_1485/kartor/A 19676-2024 karta.png", "A 19676-2024")</f>
        <v/>
      </c>
      <c r="V361">
        <f>HYPERLINK("https://klasma.github.io/Logging_1485/klagomål/A 19676-2024 FSC-klagomål.docx", "A 19676-2024")</f>
        <v/>
      </c>
      <c r="W361">
        <f>HYPERLINK("https://klasma.github.io/Logging_1485/klagomålsmail/A 19676-2024 FSC-klagomål mail.docx", "A 19676-2024")</f>
        <v/>
      </c>
      <c r="X361">
        <f>HYPERLINK("https://klasma.github.io/Logging_1485/tillsyn/A 19676-2024 tillsynsbegäran.docx", "A 19676-2024")</f>
        <v/>
      </c>
      <c r="Y361">
        <f>HYPERLINK("https://klasma.github.io/Logging_1485/tillsynsmail/A 19676-2024 tillsynsbegäran mail.docx", "A 19676-2024")</f>
        <v/>
      </c>
    </row>
    <row r="362" ht="15" customHeight="1">
      <c r="A362" t="inlineStr">
        <is>
          <t>A 46886-2023</t>
        </is>
      </c>
      <c r="B362" s="1" t="n">
        <v>45201.33994212963</v>
      </c>
      <c r="C362" s="1" t="n">
        <v>46011</v>
      </c>
      <c r="D362" t="inlineStr">
        <is>
          <t>VÄSTRA GÖTALANDS LÄN</t>
        </is>
      </c>
      <c r="E362" t="inlineStr">
        <is>
          <t>MARIESTAD</t>
        </is>
      </c>
      <c r="G362" t="n">
        <v>2.5</v>
      </c>
      <c r="H362" t="n">
        <v>1</v>
      </c>
      <c r="I362" t="n">
        <v>0</v>
      </c>
      <c r="J362" t="n">
        <v>2</v>
      </c>
      <c r="K362" t="n">
        <v>0</v>
      </c>
      <c r="L362" t="n">
        <v>0</v>
      </c>
      <c r="M362" t="n">
        <v>0</v>
      </c>
      <c r="N362" t="n">
        <v>0</v>
      </c>
      <c r="O362" t="n">
        <v>2</v>
      </c>
      <c r="P362" t="n">
        <v>0</v>
      </c>
      <c r="Q362" t="n">
        <v>2</v>
      </c>
      <c r="R362" s="2" t="inlineStr">
        <is>
          <t>Skogshare
Spillkråka</t>
        </is>
      </c>
      <c r="S362">
        <f>HYPERLINK("https://klasma.github.io/Logging_1493/artfynd/A 46886-2023 artfynd.xlsx", "A 46886-2023")</f>
        <v/>
      </c>
      <c r="T362">
        <f>HYPERLINK("https://klasma.github.io/Logging_1493/kartor/A 46886-2023 karta.png", "A 46886-2023")</f>
        <v/>
      </c>
      <c r="V362">
        <f>HYPERLINK("https://klasma.github.io/Logging_1493/klagomål/A 46886-2023 FSC-klagomål.docx", "A 46886-2023")</f>
        <v/>
      </c>
      <c r="W362">
        <f>HYPERLINK("https://klasma.github.io/Logging_1493/klagomålsmail/A 46886-2023 FSC-klagomål mail.docx", "A 46886-2023")</f>
        <v/>
      </c>
      <c r="X362">
        <f>HYPERLINK("https://klasma.github.io/Logging_1493/tillsyn/A 46886-2023 tillsynsbegäran.docx", "A 46886-2023")</f>
        <v/>
      </c>
      <c r="Y362">
        <f>HYPERLINK("https://klasma.github.io/Logging_1493/tillsynsmail/A 46886-2023 tillsynsbegäran mail.docx", "A 46886-2023")</f>
        <v/>
      </c>
      <c r="Z362">
        <f>HYPERLINK("https://klasma.github.io/Logging_1493/fåglar/A 46886-2023 prioriterade fågelarter.docx", "A 46886-2023")</f>
        <v/>
      </c>
    </row>
    <row r="363" ht="15" customHeight="1">
      <c r="A363" t="inlineStr">
        <is>
          <t>A 22268-2022</t>
        </is>
      </c>
      <c r="B363" s="1" t="n">
        <v>44712</v>
      </c>
      <c r="C363" s="1" t="n">
        <v>46011</v>
      </c>
      <c r="D363" t="inlineStr">
        <is>
          <t>VÄSTRA GÖTALANDS LÄN</t>
        </is>
      </c>
      <c r="E363" t="inlineStr">
        <is>
          <t>LERUM</t>
        </is>
      </c>
      <c r="G363" t="n">
        <v>16.6</v>
      </c>
      <c r="H363" t="n">
        <v>0</v>
      </c>
      <c r="I363" t="n">
        <v>2</v>
      </c>
      <c r="J363" t="n">
        <v>0</v>
      </c>
      <c r="K363" t="n">
        <v>0</v>
      </c>
      <c r="L363" t="n">
        <v>0</v>
      </c>
      <c r="M363" t="n">
        <v>0</v>
      </c>
      <c r="N363" t="n">
        <v>0</v>
      </c>
      <c r="O363" t="n">
        <v>0</v>
      </c>
      <c r="P363" t="n">
        <v>0</v>
      </c>
      <c r="Q363" t="n">
        <v>2</v>
      </c>
      <c r="R363" s="2" t="inlineStr">
        <is>
          <t>Havstulpanlav
Stubbspretmossa</t>
        </is>
      </c>
      <c r="S363">
        <f>HYPERLINK("https://klasma.github.io/Logging_1441/artfynd/A 22268-2022 artfynd.xlsx", "A 22268-2022")</f>
        <v/>
      </c>
      <c r="T363">
        <f>HYPERLINK("https://klasma.github.io/Logging_1441/kartor/A 22268-2022 karta.png", "A 22268-2022")</f>
        <v/>
      </c>
      <c r="V363">
        <f>HYPERLINK("https://klasma.github.io/Logging_1441/klagomål/A 22268-2022 FSC-klagomål.docx", "A 22268-2022")</f>
        <v/>
      </c>
      <c r="W363">
        <f>HYPERLINK("https://klasma.github.io/Logging_1441/klagomålsmail/A 22268-2022 FSC-klagomål mail.docx", "A 22268-2022")</f>
        <v/>
      </c>
      <c r="X363">
        <f>HYPERLINK("https://klasma.github.io/Logging_1441/tillsyn/A 22268-2022 tillsynsbegäran.docx", "A 22268-2022")</f>
        <v/>
      </c>
      <c r="Y363">
        <f>HYPERLINK("https://klasma.github.io/Logging_1441/tillsynsmail/A 22268-2022 tillsynsbegäran mail.docx", "A 22268-2022")</f>
        <v/>
      </c>
    </row>
    <row r="364" ht="15" customHeight="1">
      <c r="A364" t="inlineStr">
        <is>
          <t>A 46044-2023</t>
        </is>
      </c>
      <c r="B364" s="1" t="n">
        <v>45196</v>
      </c>
      <c r="C364" s="1" t="n">
        <v>46011</v>
      </c>
      <c r="D364" t="inlineStr">
        <is>
          <t>VÄSTRA GÖTALANDS LÄN</t>
        </is>
      </c>
      <c r="E364" t="inlineStr">
        <is>
          <t>TANUM</t>
        </is>
      </c>
      <c r="G364" t="n">
        <v>33.6</v>
      </c>
      <c r="H364" t="n">
        <v>1</v>
      </c>
      <c r="I364" t="n">
        <v>1</v>
      </c>
      <c r="J364" t="n">
        <v>0</v>
      </c>
      <c r="K364" t="n">
        <v>0</v>
      </c>
      <c r="L364" t="n">
        <v>0</v>
      </c>
      <c r="M364" t="n">
        <v>0</v>
      </c>
      <c r="N364" t="n">
        <v>0</v>
      </c>
      <c r="O364" t="n">
        <v>0</v>
      </c>
      <c r="P364" t="n">
        <v>0</v>
      </c>
      <c r="Q364" t="n">
        <v>2</v>
      </c>
      <c r="R364" s="2" t="inlineStr">
        <is>
          <t>Korallblylav
Orre</t>
        </is>
      </c>
      <c r="S364">
        <f>HYPERLINK("https://klasma.github.io/Logging_1435/artfynd/A 46044-2023 artfynd.xlsx", "A 46044-2023")</f>
        <v/>
      </c>
      <c r="T364">
        <f>HYPERLINK("https://klasma.github.io/Logging_1435/kartor/A 46044-2023 karta.png", "A 46044-2023")</f>
        <v/>
      </c>
      <c r="V364">
        <f>HYPERLINK("https://klasma.github.io/Logging_1435/klagomål/A 46044-2023 FSC-klagomål.docx", "A 46044-2023")</f>
        <v/>
      </c>
      <c r="W364">
        <f>HYPERLINK("https://klasma.github.io/Logging_1435/klagomålsmail/A 46044-2023 FSC-klagomål mail.docx", "A 46044-2023")</f>
        <v/>
      </c>
      <c r="X364">
        <f>HYPERLINK("https://klasma.github.io/Logging_1435/tillsyn/A 46044-2023 tillsynsbegäran.docx", "A 46044-2023")</f>
        <v/>
      </c>
      <c r="Y364">
        <f>HYPERLINK("https://klasma.github.io/Logging_1435/tillsynsmail/A 46044-2023 tillsynsbegäran mail.docx", "A 46044-2023")</f>
        <v/>
      </c>
      <c r="Z364">
        <f>HYPERLINK("https://klasma.github.io/Logging_1435/fåglar/A 46044-2023 prioriterade fågelarter.docx", "A 46044-2023")</f>
        <v/>
      </c>
    </row>
    <row r="365" ht="15" customHeight="1">
      <c r="A365" t="inlineStr">
        <is>
          <t>A 51774-2023</t>
        </is>
      </c>
      <c r="B365" s="1" t="n">
        <v>45222.72725694445</v>
      </c>
      <c r="C365" s="1" t="n">
        <v>46011</v>
      </c>
      <c r="D365" t="inlineStr">
        <is>
          <t>VÄSTRA GÖTALANDS LÄN</t>
        </is>
      </c>
      <c r="E365" t="inlineStr">
        <is>
          <t>MARIESTAD</t>
        </is>
      </c>
      <c r="G365" t="n">
        <v>11.6</v>
      </c>
      <c r="H365" t="n">
        <v>2</v>
      </c>
      <c r="I365" t="n">
        <v>0</v>
      </c>
      <c r="J365" t="n">
        <v>0</v>
      </c>
      <c r="K365" t="n">
        <v>1</v>
      </c>
      <c r="L365" t="n">
        <v>1</v>
      </c>
      <c r="M365" t="n">
        <v>0</v>
      </c>
      <c r="N365" t="n">
        <v>0</v>
      </c>
      <c r="O365" t="n">
        <v>2</v>
      </c>
      <c r="P365" t="n">
        <v>2</v>
      </c>
      <c r="Q365" t="n">
        <v>2</v>
      </c>
      <c r="R365" s="2" t="inlineStr">
        <is>
          <t>Storspov
Stare</t>
        </is>
      </c>
      <c r="S365">
        <f>HYPERLINK("https://klasma.github.io/Logging_1493/artfynd/A 51774-2023 artfynd.xlsx", "A 51774-2023")</f>
        <v/>
      </c>
      <c r="T365">
        <f>HYPERLINK("https://klasma.github.io/Logging_1493/kartor/A 51774-2023 karta.png", "A 51774-2023")</f>
        <v/>
      </c>
      <c r="V365">
        <f>HYPERLINK("https://klasma.github.io/Logging_1493/klagomål/A 51774-2023 FSC-klagomål.docx", "A 51774-2023")</f>
        <v/>
      </c>
      <c r="W365">
        <f>HYPERLINK("https://klasma.github.io/Logging_1493/klagomålsmail/A 51774-2023 FSC-klagomål mail.docx", "A 51774-2023")</f>
        <v/>
      </c>
      <c r="X365">
        <f>HYPERLINK("https://klasma.github.io/Logging_1493/tillsyn/A 51774-2023 tillsynsbegäran.docx", "A 51774-2023")</f>
        <v/>
      </c>
      <c r="Y365">
        <f>HYPERLINK("https://klasma.github.io/Logging_1493/tillsynsmail/A 51774-2023 tillsynsbegäran mail.docx", "A 51774-2023")</f>
        <v/>
      </c>
    </row>
    <row r="366" ht="15" customHeight="1">
      <c r="A366" t="inlineStr">
        <is>
          <t>A 20433-2025</t>
        </is>
      </c>
      <c r="B366" s="1" t="n">
        <v>45775.48</v>
      </c>
      <c r="C366" s="1" t="n">
        <v>46011</v>
      </c>
      <c r="D366" t="inlineStr">
        <is>
          <t>VÄSTRA GÖTALANDS LÄN</t>
        </is>
      </c>
      <c r="E366" t="inlineStr">
        <is>
          <t>KARLSBORG</t>
        </is>
      </c>
      <c r="G366" t="n">
        <v>4.8</v>
      </c>
      <c r="H366" t="n">
        <v>2</v>
      </c>
      <c r="I366" t="n">
        <v>0</v>
      </c>
      <c r="J366" t="n">
        <v>0</v>
      </c>
      <c r="K366" t="n">
        <v>1</v>
      </c>
      <c r="L366" t="n">
        <v>0</v>
      </c>
      <c r="M366" t="n">
        <v>0</v>
      </c>
      <c r="N366" t="n">
        <v>0</v>
      </c>
      <c r="O366" t="n">
        <v>1</v>
      </c>
      <c r="P366" t="n">
        <v>1</v>
      </c>
      <c r="Q366" t="n">
        <v>2</v>
      </c>
      <c r="R366" s="2" t="inlineStr">
        <is>
          <t>Knärot
Tjäder</t>
        </is>
      </c>
      <c r="S366">
        <f>HYPERLINK("https://klasma.github.io/Logging_1446/artfynd/A 20433-2025 artfynd.xlsx", "A 20433-2025")</f>
        <v/>
      </c>
      <c r="T366">
        <f>HYPERLINK("https://klasma.github.io/Logging_1446/kartor/A 20433-2025 karta.png", "A 20433-2025")</f>
        <v/>
      </c>
      <c r="U366">
        <f>HYPERLINK("https://klasma.github.io/Logging_1446/knärot/A 20433-2025 karta knärot.png", "A 20433-2025")</f>
        <v/>
      </c>
      <c r="V366">
        <f>HYPERLINK("https://klasma.github.io/Logging_1446/klagomål/A 20433-2025 FSC-klagomål.docx", "A 20433-2025")</f>
        <v/>
      </c>
      <c r="W366">
        <f>HYPERLINK("https://klasma.github.io/Logging_1446/klagomålsmail/A 20433-2025 FSC-klagomål mail.docx", "A 20433-2025")</f>
        <v/>
      </c>
      <c r="X366">
        <f>HYPERLINK("https://klasma.github.io/Logging_1446/tillsyn/A 20433-2025 tillsynsbegäran.docx", "A 20433-2025")</f>
        <v/>
      </c>
      <c r="Y366">
        <f>HYPERLINK("https://klasma.github.io/Logging_1446/tillsynsmail/A 20433-2025 tillsynsbegäran mail.docx", "A 20433-2025")</f>
        <v/>
      </c>
      <c r="Z366">
        <f>HYPERLINK("https://klasma.github.io/Logging_1446/fåglar/A 20433-2025 prioriterade fågelarter.docx", "A 20433-2025")</f>
        <v/>
      </c>
    </row>
    <row r="367" ht="15" customHeight="1">
      <c r="A367" t="inlineStr">
        <is>
          <t>A 16972-2022</t>
        </is>
      </c>
      <c r="B367" s="1" t="n">
        <v>44676</v>
      </c>
      <c r="C367" s="1" t="n">
        <v>46011</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16972-2022 artfynd.xlsx", "A 16972-2022")</f>
        <v/>
      </c>
      <c r="T367">
        <f>HYPERLINK("https://klasma.github.io/Logging_1430/kartor/A 16972-2022 karta.png", "A 16972-2022")</f>
        <v/>
      </c>
      <c r="V367">
        <f>HYPERLINK("https://klasma.github.io/Logging_1430/klagomål/A 16972-2022 FSC-klagomål.docx", "A 16972-2022")</f>
        <v/>
      </c>
      <c r="W367">
        <f>HYPERLINK("https://klasma.github.io/Logging_1430/klagomålsmail/A 16972-2022 FSC-klagomål mail.docx", "A 16972-2022")</f>
        <v/>
      </c>
      <c r="X367">
        <f>HYPERLINK("https://klasma.github.io/Logging_1430/tillsyn/A 16972-2022 tillsynsbegäran.docx", "A 16972-2022")</f>
        <v/>
      </c>
      <c r="Y367">
        <f>HYPERLINK("https://klasma.github.io/Logging_1430/tillsynsmail/A 16972-2022 tillsynsbegäran mail.docx", "A 16972-2022")</f>
        <v/>
      </c>
    </row>
    <row r="368" ht="15" customHeight="1">
      <c r="A368" t="inlineStr">
        <is>
          <t>A 7276-2025</t>
        </is>
      </c>
      <c r="B368" s="1" t="n">
        <v>45702.62541666667</v>
      </c>
      <c r="C368" s="1" t="n">
        <v>46011</v>
      </c>
      <c r="D368" t="inlineStr">
        <is>
          <t>VÄSTRA GÖTALANDS LÄN</t>
        </is>
      </c>
      <c r="E368" t="inlineStr">
        <is>
          <t>SKÖVDE</t>
        </is>
      </c>
      <c r="G368" t="n">
        <v>0.6</v>
      </c>
      <c r="H368" t="n">
        <v>0</v>
      </c>
      <c r="I368" t="n">
        <v>0</v>
      </c>
      <c r="J368" t="n">
        <v>0</v>
      </c>
      <c r="K368" t="n">
        <v>2</v>
      </c>
      <c r="L368" t="n">
        <v>0</v>
      </c>
      <c r="M368" t="n">
        <v>0</v>
      </c>
      <c r="N368" t="n">
        <v>0</v>
      </c>
      <c r="O368" t="n">
        <v>2</v>
      </c>
      <c r="P368" t="n">
        <v>2</v>
      </c>
      <c r="Q368" t="n">
        <v>2</v>
      </c>
      <c r="R368" s="2" t="inlineStr">
        <is>
          <t>Bitter taggsvamp
Mjölfibbla</t>
        </is>
      </c>
      <c r="S368">
        <f>HYPERLINK("https://klasma.github.io/Logging_1496/artfynd/A 7276-2025 artfynd.xlsx", "A 7276-2025")</f>
        <v/>
      </c>
      <c r="T368">
        <f>HYPERLINK("https://klasma.github.io/Logging_1496/kartor/A 7276-2025 karta.png", "A 7276-2025")</f>
        <v/>
      </c>
      <c r="V368">
        <f>HYPERLINK("https://klasma.github.io/Logging_1496/klagomål/A 7276-2025 FSC-klagomål.docx", "A 7276-2025")</f>
        <v/>
      </c>
      <c r="W368">
        <f>HYPERLINK("https://klasma.github.io/Logging_1496/klagomålsmail/A 7276-2025 FSC-klagomål mail.docx", "A 7276-2025")</f>
        <v/>
      </c>
      <c r="X368">
        <f>HYPERLINK("https://klasma.github.io/Logging_1496/tillsyn/A 7276-2025 tillsynsbegäran.docx", "A 7276-2025")</f>
        <v/>
      </c>
      <c r="Y368">
        <f>HYPERLINK("https://klasma.github.io/Logging_1496/tillsynsmail/A 7276-2025 tillsynsbegäran mail.docx", "A 7276-2025")</f>
        <v/>
      </c>
    </row>
    <row r="369" ht="15" customHeight="1">
      <c r="A369" t="inlineStr">
        <is>
          <t>A 55725-2023</t>
        </is>
      </c>
      <c r="B369" s="1" t="n">
        <v>45232</v>
      </c>
      <c r="C369" s="1" t="n">
        <v>46011</v>
      </c>
      <c r="D369" t="inlineStr">
        <is>
          <t>VÄSTRA GÖTALANDS LÄN</t>
        </is>
      </c>
      <c r="E369" t="inlineStr">
        <is>
          <t>FALKÖPING</t>
        </is>
      </c>
      <c r="G369" t="n">
        <v>8.300000000000001</v>
      </c>
      <c r="H369" t="n">
        <v>2</v>
      </c>
      <c r="I369" t="n">
        <v>1</v>
      </c>
      <c r="J369" t="n">
        <v>0</v>
      </c>
      <c r="K369" t="n">
        <v>0</v>
      </c>
      <c r="L369" t="n">
        <v>0</v>
      </c>
      <c r="M369" t="n">
        <v>0</v>
      </c>
      <c r="N369" t="n">
        <v>0</v>
      </c>
      <c r="O369" t="n">
        <v>0</v>
      </c>
      <c r="P369" t="n">
        <v>0</v>
      </c>
      <c r="Q369" t="n">
        <v>2</v>
      </c>
      <c r="R369" s="2" t="inlineStr">
        <is>
          <t>Tvåblad
Fläcknycklar</t>
        </is>
      </c>
      <c r="S369">
        <f>HYPERLINK("https://klasma.github.io/Logging_1499/artfynd/A 55725-2023 artfynd.xlsx", "A 55725-2023")</f>
        <v/>
      </c>
      <c r="T369">
        <f>HYPERLINK("https://klasma.github.io/Logging_1499/kartor/A 55725-2023 karta.png", "A 55725-2023")</f>
        <v/>
      </c>
      <c r="V369">
        <f>HYPERLINK("https://klasma.github.io/Logging_1499/klagomål/A 55725-2023 FSC-klagomål.docx", "A 55725-2023")</f>
        <v/>
      </c>
      <c r="W369">
        <f>HYPERLINK("https://klasma.github.io/Logging_1499/klagomålsmail/A 55725-2023 FSC-klagomål mail.docx", "A 55725-2023")</f>
        <v/>
      </c>
      <c r="X369">
        <f>HYPERLINK("https://klasma.github.io/Logging_1499/tillsyn/A 55725-2023 tillsynsbegäran.docx", "A 55725-2023")</f>
        <v/>
      </c>
      <c r="Y369">
        <f>HYPERLINK("https://klasma.github.io/Logging_1499/tillsynsmail/A 55725-2023 tillsynsbegäran mail.docx", "A 55725-2023")</f>
        <v/>
      </c>
    </row>
    <row r="370" ht="15" customHeight="1">
      <c r="A370" t="inlineStr">
        <is>
          <t>A 61458-2023</t>
        </is>
      </c>
      <c r="B370" s="1" t="n">
        <v>45264</v>
      </c>
      <c r="C370" s="1" t="n">
        <v>46011</v>
      </c>
      <c r="D370" t="inlineStr">
        <is>
          <t>VÄSTRA GÖTALANDS LÄN</t>
        </is>
      </c>
      <c r="E370" t="inlineStr">
        <is>
          <t>FALKÖPING</t>
        </is>
      </c>
      <c r="G370" t="n">
        <v>0.8</v>
      </c>
      <c r="H370" t="n">
        <v>1</v>
      </c>
      <c r="I370" t="n">
        <v>0</v>
      </c>
      <c r="J370" t="n">
        <v>0</v>
      </c>
      <c r="K370" t="n">
        <v>0</v>
      </c>
      <c r="L370" t="n">
        <v>0</v>
      </c>
      <c r="M370" t="n">
        <v>1</v>
      </c>
      <c r="N370" t="n">
        <v>0</v>
      </c>
      <c r="O370" t="n">
        <v>1</v>
      </c>
      <c r="P370" t="n">
        <v>1</v>
      </c>
      <c r="Q370" t="n">
        <v>2</v>
      </c>
      <c r="R370" s="2" t="inlineStr">
        <is>
          <t>Skogsalm
Blåsippa</t>
        </is>
      </c>
      <c r="S370">
        <f>HYPERLINK("https://klasma.github.io/Logging_1499/artfynd/A 61458-2023 artfynd.xlsx", "A 61458-2023")</f>
        <v/>
      </c>
      <c r="T370">
        <f>HYPERLINK("https://klasma.github.io/Logging_1499/kartor/A 61458-2023 karta.png", "A 61458-2023")</f>
        <v/>
      </c>
      <c r="V370">
        <f>HYPERLINK("https://klasma.github.io/Logging_1499/klagomål/A 61458-2023 FSC-klagomål.docx", "A 61458-2023")</f>
        <v/>
      </c>
      <c r="W370">
        <f>HYPERLINK("https://klasma.github.io/Logging_1499/klagomålsmail/A 61458-2023 FSC-klagomål mail.docx", "A 61458-2023")</f>
        <v/>
      </c>
      <c r="X370">
        <f>HYPERLINK("https://klasma.github.io/Logging_1499/tillsyn/A 61458-2023 tillsynsbegäran.docx", "A 61458-2023")</f>
        <v/>
      </c>
      <c r="Y370">
        <f>HYPERLINK("https://klasma.github.io/Logging_1499/tillsynsmail/A 61458-2023 tillsynsbegäran mail.docx", "A 61458-2023")</f>
        <v/>
      </c>
    </row>
    <row r="371" ht="15" customHeight="1">
      <c r="A371" t="inlineStr">
        <is>
          <t>A 44466-2023</t>
        </is>
      </c>
      <c r="B371" s="1" t="n">
        <v>45183</v>
      </c>
      <c r="C371" s="1" t="n">
        <v>46011</v>
      </c>
      <c r="D371" t="inlineStr">
        <is>
          <t>VÄSTRA GÖTALANDS LÄN</t>
        </is>
      </c>
      <c r="E371" t="inlineStr">
        <is>
          <t>TIDAHOLM</t>
        </is>
      </c>
      <c r="F371" t="inlineStr">
        <is>
          <t>Allmännings- och besparingsskogar</t>
        </is>
      </c>
      <c r="G371" t="n">
        <v>7.4</v>
      </c>
      <c r="H371" t="n">
        <v>1</v>
      </c>
      <c r="I371" t="n">
        <v>1</v>
      </c>
      <c r="J371" t="n">
        <v>0</v>
      </c>
      <c r="K371" t="n">
        <v>0</v>
      </c>
      <c r="L371" t="n">
        <v>1</v>
      </c>
      <c r="M371" t="n">
        <v>0</v>
      </c>
      <c r="N371" t="n">
        <v>0</v>
      </c>
      <c r="O371" t="n">
        <v>1</v>
      </c>
      <c r="P371" t="n">
        <v>1</v>
      </c>
      <c r="Q371" t="n">
        <v>2</v>
      </c>
      <c r="R371" s="2" t="inlineStr">
        <is>
          <t>Mosippa
Dropptaggsvamp</t>
        </is>
      </c>
      <c r="S371">
        <f>HYPERLINK("https://klasma.github.io/Logging_1498/artfynd/A 44466-2023 artfynd.xlsx", "A 44466-2023")</f>
        <v/>
      </c>
      <c r="T371">
        <f>HYPERLINK("https://klasma.github.io/Logging_1498/kartor/A 44466-2023 karta.png", "A 44466-2023")</f>
        <v/>
      </c>
      <c r="V371">
        <f>HYPERLINK("https://klasma.github.io/Logging_1498/klagomål/A 44466-2023 FSC-klagomål.docx", "A 44466-2023")</f>
        <v/>
      </c>
      <c r="W371">
        <f>HYPERLINK("https://klasma.github.io/Logging_1498/klagomålsmail/A 44466-2023 FSC-klagomål mail.docx", "A 44466-2023")</f>
        <v/>
      </c>
      <c r="X371">
        <f>HYPERLINK("https://klasma.github.io/Logging_1498/tillsyn/A 44466-2023 tillsynsbegäran.docx", "A 44466-2023")</f>
        <v/>
      </c>
      <c r="Y371">
        <f>HYPERLINK("https://klasma.github.io/Logging_1498/tillsynsmail/A 44466-2023 tillsynsbegäran mail.docx", "A 44466-2023")</f>
        <v/>
      </c>
    </row>
    <row r="372" ht="15" customHeight="1">
      <c r="A372" t="inlineStr">
        <is>
          <t>A 8978-2024</t>
        </is>
      </c>
      <c r="B372" s="1" t="n">
        <v>45357.51055555556</v>
      </c>
      <c r="C372" s="1" t="n">
        <v>46011</v>
      </c>
      <c r="D372" t="inlineStr">
        <is>
          <t>VÄSTRA GÖTALANDS LÄN</t>
        </is>
      </c>
      <c r="E372" t="inlineStr">
        <is>
          <t>ULRICEHAMN</t>
        </is>
      </c>
      <c r="F372" t="inlineStr">
        <is>
          <t>Sveaskog</t>
        </is>
      </c>
      <c r="G372" t="n">
        <v>1.8</v>
      </c>
      <c r="H372" t="n">
        <v>2</v>
      </c>
      <c r="I372" t="n">
        <v>0</v>
      </c>
      <c r="J372" t="n">
        <v>0</v>
      </c>
      <c r="K372" t="n">
        <v>0</v>
      </c>
      <c r="L372" t="n">
        <v>0</v>
      </c>
      <c r="M372" t="n">
        <v>0</v>
      </c>
      <c r="N372" t="n">
        <v>0</v>
      </c>
      <c r="O372" t="n">
        <v>0</v>
      </c>
      <c r="P372" t="n">
        <v>0</v>
      </c>
      <c r="Q372" t="n">
        <v>2</v>
      </c>
      <c r="R372" s="2" t="inlineStr">
        <is>
          <t>Vanlig groda
Revlummer</t>
        </is>
      </c>
      <c r="S372">
        <f>HYPERLINK("https://klasma.github.io/Logging_1491/artfynd/A 8978-2024 artfynd.xlsx", "A 8978-2024")</f>
        <v/>
      </c>
      <c r="T372">
        <f>HYPERLINK("https://klasma.github.io/Logging_1491/kartor/A 8978-2024 karta.png", "A 8978-2024")</f>
        <v/>
      </c>
      <c r="V372">
        <f>HYPERLINK("https://klasma.github.io/Logging_1491/klagomål/A 8978-2024 FSC-klagomål.docx", "A 8978-2024")</f>
        <v/>
      </c>
      <c r="W372">
        <f>HYPERLINK("https://klasma.github.io/Logging_1491/klagomålsmail/A 8978-2024 FSC-klagomål mail.docx", "A 8978-2024")</f>
        <v/>
      </c>
      <c r="X372">
        <f>HYPERLINK("https://klasma.github.io/Logging_1491/tillsyn/A 8978-2024 tillsynsbegäran.docx", "A 8978-2024")</f>
        <v/>
      </c>
      <c r="Y372">
        <f>HYPERLINK("https://klasma.github.io/Logging_1491/tillsynsmail/A 8978-2024 tillsynsbegäran mail.docx", "A 8978-2024")</f>
        <v/>
      </c>
    </row>
    <row r="373" ht="15" customHeight="1">
      <c r="A373" t="inlineStr">
        <is>
          <t>A 64578-2023</t>
        </is>
      </c>
      <c r="B373" s="1" t="n">
        <v>45281</v>
      </c>
      <c r="C373" s="1" t="n">
        <v>46011</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43626-2023</t>
        </is>
      </c>
      <c r="B374" s="1" t="n">
        <v>45184.75254629629</v>
      </c>
      <c r="C374" s="1" t="n">
        <v>46011</v>
      </c>
      <c r="D374" t="inlineStr">
        <is>
          <t>VÄSTRA GÖTALANDS LÄN</t>
        </is>
      </c>
      <c r="E374" t="inlineStr">
        <is>
          <t>KARLSBORG</t>
        </is>
      </c>
      <c r="G374" t="n">
        <v>0.7</v>
      </c>
      <c r="H374" t="n">
        <v>0</v>
      </c>
      <c r="I374" t="n">
        <v>2</v>
      </c>
      <c r="J374" t="n">
        <v>0</v>
      </c>
      <c r="K374" t="n">
        <v>0</v>
      </c>
      <c r="L374" t="n">
        <v>0</v>
      </c>
      <c r="M374" t="n">
        <v>0</v>
      </c>
      <c r="N374" t="n">
        <v>0</v>
      </c>
      <c r="O374" t="n">
        <v>0</v>
      </c>
      <c r="P374" t="n">
        <v>0</v>
      </c>
      <c r="Q374" t="n">
        <v>2</v>
      </c>
      <c r="R374" s="2" t="inlineStr">
        <is>
          <t>Dropptaggsvamp
Tallfingersvamp</t>
        </is>
      </c>
      <c r="S374">
        <f>HYPERLINK("https://klasma.github.io/Logging_1446/artfynd/A 43626-2023 artfynd.xlsx", "A 43626-2023")</f>
        <v/>
      </c>
      <c r="T374">
        <f>HYPERLINK("https://klasma.github.io/Logging_1446/kartor/A 43626-2023 karta.png", "A 43626-2023")</f>
        <v/>
      </c>
      <c r="V374">
        <f>HYPERLINK("https://klasma.github.io/Logging_1446/klagomål/A 43626-2023 FSC-klagomål.docx", "A 43626-2023")</f>
        <v/>
      </c>
      <c r="W374">
        <f>HYPERLINK("https://klasma.github.io/Logging_1446/klagomålsmail/A 43626-2023 FSC-klagomål mail.docx", "A 43626-2023")</f>
        <v/>
      </c>
      <c r="X374">
        <f>HYPERLINK("https://klasma.github.io/Logging_1446/tillsyn/A 43626-2023 tillsynsbegäran.docx", "A 43626-2023")</f>
        <v/>
      </c>
      <c r="Y374">
        <f>HYPERLINK("https://klasma.github.io/Logging_1446/tillsynsmail/A 43626-2023 tillsynsbegäran mail.docx", "A 43626-2023")</f>
        <v/>
      </c>
    </row>
    <row r="375" ht="15" customHeight="1">
      <c r="A375" t="inlineStr">
        <is>
          <t>A 4312-2023</t>
        </is>
      </c>
      <c r="B375" s="1" t="n">
        <v>44953</v>
      </c>
      <c r="C375" s="1" t="n">
        <v>46011</v>
      </c>
      <c r="D375" t="inlineStr">
        <is>
          <t>VÄSTRA GÖTALANDS LÄN</t>
        </is>
      </c>
      <c r="E375" t="inlineStr">
        <is>
          <t>SKARA</t>
        </is>
      </c>
      <c r="G375" t="n">
        <v>4.1</v>
      </c>
      <c r="H375" t="n">
        <v>0</v>
      </c>
      <c r="I375" t="n">
        <v>0</v>
      </c>
      <c r="J375" t="n">
        <v>1</v>
      </c>
      <c r="K375" t="n">
        <v>1</v>
      </c>
      <c r="L375" t="n">
        <v>0</v>
      </c>
      <c r="M375" t="n">
        <v>0</v>
      </c>
      <c r="N375" t="n">
        <v>0</v>
      </c>
      <c r="O375" t="n">
        <v>2</v>
      </c>
      <c r="P375" t="n">
        <v>1</v>
      </c>
      <c r="Q375" t="n">
        <v>2</v>
      </c>
      <c r="R375" s="2" t="inlineStr">
        <is>
          <t>Hartmansstarr
Klasefibbla</t>
        </is>
      </c>
      <c r="S375">
        <f>HYPERLINK("https://klasma.github.io/Logging_1495/artfynd/A 4312-2023 artfynd.xlsx", "A 4312-2023")</f>
        <v/>
      </c>
      <c r="T375">
        <f>HYPERLINK("https://klasma.github.io/Logging_1495/kartor/A 4312-2023 karta.png", "A 4312-2023")</f>
        <v/>
      </c>
      <c r="V375">
        <f>HYPERLINK("https://klasma.github.io/Logging_1495/klagomål/A 4312-2023 FSC-klagomål.docx", "A 4312-2023")</f>
        <v/>
      </c>
      <c r="W375">
        <f>HYPERLINK("https://klasma.github.io/Logging_1495/klagomålsmail/A 4312-2023 FSC-klagomål mail.docx", "A 4312-2023")</f>
        <v/>
      </c>
      <c r="X375">
        <f>HYPERLINK("https://klasma.github.io/Logging_1495/tillsyn/A 4312-2023 tillsynsbegäran.docx", "A 4312-2023")</f>
        <v/>
      </c>
      <c r="Y375">
        <f>HYPERLINK("https://klasma.github.io/Logging_1495/tillsynsmail/A 4312-2023 tillsynsbegäran mail.docx", "A 4312-2023")</f>
        <v/>
      </c>
    </row>
    <row r="376" ht="15" customHeight="1">
      <c r="A376" t="inlineStr">
        <is>
          <t>A 29724-2022</t>
        </is>
      </c>
      <c r="B376" s="1" t="n">
        <v>44755</v>
      </c>
      <c r="C376" s="1" t="n">
        <v>46011</v>
      </c>
      <c r="D376" t="inlineStr">
        <is>
          <t>VÄSTRA GÖTALANDS LÄN</t>
        </is>
      </c>
      <c r="E376" t="inlineStr">
        <is>
          <t>TIBRO</t>
        </is>
      </c>
      <c r="G376" t="n">
        <v>11.8</v>
      </c>
      <c r="H376" t="n">
        <v>1</v>
      </c>
      <c r="I376" t="n">
        <v>1</v>
      </c>
      <c r="J376" t="n">
        <v>0</v>
      </c>
      <c r="K376" t="n">
        <v>1</v>
      </c>
      <c r="L376" t="n">
        <v>0</v>
      </c>
      <c r="M376" t="n">
        <v>0</v>
      </c>
      <c r="N376" t="n">
        <v>0</v>
      </c>
      <c r="O376" t="n">
        <v>1</v>
      </c>
      <c r="P376" t="n">
        <v>1</v>
      </c>
      <c r="Q376" t="n">
        <v>2</v>
      </c>
      <c r="R376" s="2" t="inlineStr">
        <is>
          <t>Knärot
Flagellkvastmossa</t>
        </is>
      </c>
      <c r="S376">
        <f>HYPERLINK("https://klasma.github.io/Logging_1472/artfynd/A 29724-2022 artfynd.xlsx", "A 29724-2022")</f>
        <v/>
      </c>
      <c r="T376">
        <f>HYPERLINK("https://klasma.github.io/Logging_1472/kartor/A 29724-2022 karta.png", "A 29724-2022")</f>
        <v/>
      </c>
      <c r="U376">
        <f>HYPERLINK("https://klasma.github.io/Logging_1472/knärot/A 29724-2022 karta knärot.png", "A 29724-2022")</f>
        <v/>
      </c>
      <c r="V376">
        <f>HYPERLINK("https://klasma.github.io/Logging_1472/klagomål/A 29724-2022 FSC-klagomål.docx", "A 29724-2022")</f>
        <v/>
      </c>
      <c r="W376">
        <f>HYPERLINK("https://klasma.github.io/Logging_1472/klagomålsmail/A 29724-2022 FSC-klagomål mail.docx", "A 29724-2022")</f>
        <v/>
      </c>
      <c r="X376">
        <f>HYPERLINK("https://klasma.github.io/Logging_1472/tillsyn/A 29724-2022 tillsynsbegäran.docx", "A 29724-2022")</f>
        <v/>
      </c>
      <c r="Y376">
        <f>HYPERLINK("https://klasma.github.io/Logging_1472/tillsynsmail/A 29724-2022 tillsynsbegäran mail.docx", "A 29724-2022")</f>
        <v/>
      </c>
    </row>
    <row r="377" ht="15" customHeight="1">
      <c r="A377" t="inlineStr">
        <is>
          <t>A 47911-2023</t>
        </is>
      </c>
      <c r="B377" s="1" t="n">
        <v>45204.51549768518</v>
      </c>
      <c r="C377" s="1" t="n">
        <v>46011</v>
      </c>
      <c r="D377" t="inlineStr">
        <is>
          <t>VÄSTRA GÖTALANDS LÄN</t>
        </is>
      </c>
      <c r="E377" t="inlineStr">
        <is>
          <t>BORÅS</t>
        </is>
      </c>
      <c r="G377" t="n">
        <v>1.6</v>
      </c>
      <c r="H377" t="n">
        <v>0</v>
      </c>
      <c r="I377" t="n">
        <v>2</v>
      </c>
      <c r="J377" t="n">
        <v>0</v>
      </c>
      <c r="K377" t="n">
        <v>0</v>
      </c>
      <c r="L377" t="n">
        <v>0</v>
      </c>
      <c r="M377" t="n">
        <v>0</v>
      </c>
      <c r="N377" t="n">
        <v>0</v>
      </c>
      <c r="O377" t="n">
        <v>0</v>
      </c>
      <c r="P377" t="n">
        <v>0</v>
      </c>
      <c r="Q377" t="n">
        <v>2</v>
      </c>
      <c r="R377" s="2" t="inlineStr">
        <is>
          <t>Gulnål
Vågbandad barkbock</t>
        </is>
      </c>
      <c r="S377">
        <f>HYPERLINK("https://klasma.github.io/Logging_1490/artfynd/A 47911-2023 artfynd.xlsx", "A 47911-2023")</f>
        <v/>
      </c>
      <c r="T377">
        <f>HYPERLINK("https://klasma.github.io/Logging_1490/kartor/A 47911-2023 karta.png", "A 47911-2023")</f>
        <v/>
      </c>
      <c r="V377">
        <f>HYPERLINK("https://klasma.github.io/Logging_1490/klagomål/A 47911-2023 FSC-klagomål.docx", "A 47911-2023")</f>
        <v/>
      </c>
      <c r="W377">
        <f>HYPERLINK("https://klasma.github.io/Logging_1490/klagomålsmail/A 47911-2023 FSC-klagomål mail.docx", "A 47911-2023")</f>
        <v/>
      </c>
      <c r="X377">
        <f>HYPERLINK("https://klasma.github.io/Logging_1490/tillsyn/A 47911-2023 tillsynsbegäran.docx", "A 47911-2023")</f>
        <v/>
      </c>
      <c r="Y377">
        <f>HYPERLINK("https://klasma.github.io/Logging_1490/tillsynsmail/A 47911-2023 tillsynsbegäran mail.docx", "A 47911-2023")</f>
        <v/>
      </c>
    </row>
    <row r="378" ht="15" customHeight="1">
      <c r="A378" t="inlineStr">
        <is>
          <t>A 31843-2021</t>
        </is>
      </c>
      <c r="B378" s="1" t="n">
        <v>44370</v>
      </c>
      <c r="C378" s="1" t="n">
        <v>46011</v>
      </c>
      <c r="D378" t="inlineStr">
        <is>
          <t>VÄSTRA GÖTALANDS LÄN</t>
        </is>
      </c>
      <c r="E378" t="inlineStr">
        <is>
          <t>BOLLEBYGD</t>
        </is>
      </c>
      <c r="G378" t="n">
        <v>5.4</v>
      </c>
      <c r="H378" t="n">
        <v>2</v>
      </c>
      <c r="I378" t="n">
        <v>0</v>
      </c>
      <c r="J378" t="n">
        <v>2</v>
      </c>
      <c r="K378" t="n">
        <v>0</v>
      </c>
      <c r="L378" t="n">
        <v>0</v>
      </c>
      <c r="M378" t="n">
        <v>0</v>
      </c>
      <c r="N378" t="n">
        <v>0</v>
      </c>
      <c r="O378" t="n">
        <v>2</v>
      </c>
      <c r="P378" t="n">
        <v>0</v>
      </c>
      <c r="Q378" t="n">
        <v>2</v>
      </c>
      <c r="R378" s="2" t="inlineStr">
        <is>
          <t>Spillkråka
Talltita</t>
        </is>
      </c>
      <c r="S378">
        <f>HYPERLINK("https://klasma.github.io/Logging_1443/artfynd/A 31843-2021 artfynd.xlsx", "A 31843-2021")</f>
        <v/>
      </c>
      <c r="T378">
        <f>HYPERLINK("https://klasma.github.io/Logging_1443/kartor/A 31843-2021 karta.png", "A 31843-2021")</f>
        <v/>
      </c>
      <c r="V378">
        <f>HYPERLINK("https://klasma.github.io/Logging_1443/klagomål/A 31843-2021 FSC-klagomål.docx", "A 31843-2021")</f>
        <v/>
      </c>
      <c r="W378">
        <f>HYPERLINK("https://klasma.github.io/Logging_1443/klagomålsmail/A 31843-2021 FSC-klagomål mail.docx", "A 31843-2021")</f>
        <v/>
      </c>
      <c r="X378">
        <f>HYPERLINK("https://klasma.github.io/Logging_1443/tillsyn/A 31843-2021 tillsynsbegäran.docx", "A 31843-2021")</f>
        <v/>
      </c>
      <c r="Y378">
        <f>HYPERLINK("https://klasma.github.io/Logging_1443/tillsynsmail/A 31843-2021 tillsynsbegäran mail.docx", "A 31843-2021")</f>
        <v/>
      </c>
      <c r="Z378">
        <f>HYPERLINK("https://klasma.github.io/Logging_1443/fåglar/A 31843-2021 prioriterade fågelarter.docx", "A 31843-2021")</f>
        <v/>
      </c>
    </row>
    <row r="379" ht="15" customHeight="1">
      <c r="A379" t="inlineStr">
        <is>
          <t>A 32528-2024</t>
        </is>
      </c>
      <c r="B379" s="1" t="n">
        <v>45513.47662037037</v>
      </c>
      <c r="C379" s="1" t="n">
        <v>46011</v>
      </c>
      <c r="D379" t="inlineStr">
        <is>
          <t>VÄSTRA GÖTALANDS LÄN</t>
        </is>
      </c>
      <c r="E379" t="inlineStr">
        <is>
          <t>UDDEVALLA</t>
        </is>
      </c>
      <c r="G379" t="n">
        <v>1.5</v>
      </c>
      <c r="H379" t="n">
        <v>0</v>
      </c>
      <c r="I379" t="n">
        <v>1</v>
      </c>
      <c r="J379" t="n">
        <v>1</v>
      </c>
      <c r="K379" t="n">
        <v>0</v>
      </c>
      <c r="L379" t="n">
        <v>0</v>
      </c>
      <c r="M379" t="n">
        <v>0</v>
      </c>
      <c r="N379" t="n">
        <v>0</v>
      </c>
      <c r="O379" t="n">
        <v>1</v>
      </c>
      <c r="P379" t="n">
        <v>0</v>
      </c>
      <c r="Q379" t="n">
        <v>2</v>
      </c>
      <c r="R379" s="2" t="inlineStr">
        <is>
          <t>Grönhjon
Granbarkgnagare</t>
        </is>
      </c>
      <c r="S379">
        <f>HYPERLINK("https://klasma.github.io/Logging_1485/artfynd/A 32528-2024 artfynd.xlsx", "A 32528-2024")</f>
        <v/>
      </c>
      <c r="T379">
        <f>HYPERLINK("https://klasma.github.io/Logging_1485/kartor/A 32528-2024 karta.png", "A 32528-2024")</f>
        <v/>
      </c>
      <c r="V379">
        <f>HYPERLINK("https://klasma.github.io/Logging_1485/klagomål/A 32528-2024 FSC-klagomål.docx", "A 32528-2024")</f>
        <v/>
      </c>
      <c r="W379">
        <f>HYPERLINK("https://klasma.github.io/Logging_1485/klagomålsmail/A 32528-2024 FSC-klagomål mail.docx", "A 32528-2024")</f>
        <v/>
      </c>
      <c r="X379">
        <f>HYPERLINK("https://klasma.github.io/Logging_1485/tillsyn/A 32528-2024 tillsynsbegäran.docx", "A 32528-2024")</f>
        <v/>
      </c>
      <c r="Y379">
        <f>HYPERLINK("https://klasma.github.io/Logging_1485/tillsynsmail/A 32528-2024 tillsynsbegäran mail.docx", "A 32528-2024")</f>
        <v/>
      </c>
    </row>
    <row r="380" ht="15" customHeight="1">
      <c r="A380" t="inlineStr">
        <is>
          <t>A 11073-2022</t>
        </is>
      </c>
      <c r="B380" s="1" t="n">
        <v>44628</v>
      </c>
      <c r="C380" s="1" t="n">
        <v>46011</v>
      </c>
      <c r="D380" t="inlineStr">
        <is>
          <t>VÄSTRA GÖTALANDS LÄN</t>
        </is>
      </c>
      <c r="E380" t="inlineStr">
        <is>
          <t>MARIESTAD</t>
        </is>
      </c>
      <c r="G380" t="n">
        <v>3</v>
      </c>
      <c r="H380" t="n">
        <v>2</v>
      </c>
      <c r="I380" t="n">
        <v>0</v>
      </c>
      <c r="J380" t="n">
        <v>1</v>
      </c>
      <c r="K380" t="n">
        <v>0</v>
      </c>
      <c r="L380" t="n">
        <v>0</v>
      </c>
      <c r="M380" t="n">
        <v>0</v>
      </c>
      <c r="N380" t="n">
        <v>0</v>
      </c>
      <c r="O380" t="n">
        <v>1</v>
      </c>
      <c r="P380" t="n">
        <v>0</v>
      </c>
      <c r="Q380" t="n">
        <v>2</v>
      </c>
      <c r="R380" s="2" t="inlineStr">
        <is>
          <t>Spillkråka
Skogsduva</t>
        </is>
      </c>
      <c r="S380">
        <f>HYPERLINK("https://klasma.github.io/Logging_1493/artfynd/A 11073-2022 artfynd.xlsx", "A 11073-2022")</f>
        <v/>
      </c>
      <c r="T380">
        <f>HYPERLINK("https://klasma.github.io/Logging_1493/kartor/A 11073-2022 karta.png", "A 11073-2022")</f>
        <v/>
      </c>
      <c r="V380">
        <f>HYPERLINK("https://klasma.github.io/Logging_1493/klagomål/A 11073-2022 FSC-klagomål.docx", "A 11073-2022")</f>
        <v/>
      </c>
      <c r="W380">
        <f>HYPERLINK("https://klasma.github.io/Logging_1493/klagomålsmail/A 11073-2022 FSC-klagomål mail.docx", "A 11073-2022")</f>
        <v/>
      </c>
      <c r="X380">
        <f>HYPERLINK("https://klasma.github.io/Logging_1493/tillsyn/A 11073-2022 tillsynsbegäran.docx", "A 11073-2022")</f>
        <v/>
      </c>
      <c r="Y380">
        <f>HYPERLINK("https://klasma.github.io/Logging_1493/tillsynsmail/A 11073-2022 tillsynsbegäran mail.docx", "A 11073-2022")</f>
        <v/>
      </c>
      <c r="Z380">
        <f>HYPERLINK("https://klasma.github.io/Logging_1493/fåglar/A 11073-2022 prioriterade fågelarter.docx", "A 11073-2022")</f>
        <v/>
      </c>
    </row>
    <row r="381" ht="15" customHeight="1">
      <c r="A381" t="inlineStr">
        <is>
          <t>A 13699-2024</t>
        </is>
      </c>
      <c r="B381" s="1" t="n">
        <v>45390</v>
      </c>
      <c r="C381" s="1" t="n">
        <v>46011</v>
      </c>
      <c r="D381" t="inlineStr">
        <is>
          <t>VÄSTRA GÖTALANDS LÄN</t>
        </is>
      </c>
      <c r="E381" t="inlineStr">
        <is>
          <t>LILLA EDET</t>
        </is>
      </c>
      <c r="G381" t="n">
        <v>6.6</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HYPERLINK("https://klasma.github.io/Logging_1462/artfynd/A 13699-2024 artfynd.xlsx", "A 13699-2024")</f>
        <v/>
      </c>
      <c r="T381">
        <f>HYPERLINK("https://klasma.github.io/Logging_1462/kartor/A 13699-2024 karta.png", "A 13699-2024")</f>
        <v/>
      </c>
      <c r="V381">
        <f>HYPERLINK("https://klasma.github.io/Logging_1462/klagomål/A 13699-2024 FSC-klagomål.docx", "A 13699-2024")</f>
        <v/>
      </c>
      <c r="W381">
        <f>HYPERLINK("https://klasma.github.io/Logging_1462/klagomålsmail/A 13699-2024 FSC-klagomål mail.docx", "A 13699-2024")</f>
        <v/>
      </c>
      <c r="X381">
        <f>HYPERLINK("https://klasma.github.io/Logging_1462/tillsyn/A 13699-2024 tillsynsbegäran.docx", "A 13699-2024")</f>
        <v/>
      </c>
      <c r="Y381">
        <f>HYPERLINK("https://klasma.github.io/Logging_1462/tillsynsmail/A 13699-2024 tillsynsbegäran mail.docx", "A 13699-2024")</f>
        <v/>
      </c>
      <c r="Z381">
        <f>HYPERLINK("https://klasma.github.io/Logging_1462/fåglar/A 13699-2024 prioriterade fågelarter.docx", "A 13699-2024")</f>
        <v/>
      </c>
    </row>
    <row r="382" ht="15" customHeight="1">
      <c r="A382" t="inlineStr">
        <is>
          <t>A 55336-2024</t>
        </is>
      </c>
      <c r="B382" s="1" t="n">
        <v>45621.69048611111</v>
      </c>
      <c r="C382" s="1" t="n">
        <v>46011</v>
      </c>
      <c r="D382" t="inlineStr">
        <is>
          <t>VÄSTRA GÖTALANDS LÄN</t>
        </is>
      </c>
      <c r="E382" t="inlineStr">
        <is>
          <t>TRANEMO</t>
        </is>
      </c>
      <c r="G382" t="n">
        <v>1.2</v>
      </c>
      <c r="H382" t="n">
        <v>2</v>
      </c>
      <c r="I382" t="n">
        <v>0</v>
      </c>
      <c r="J382" t="n">
        <v>0</v>
      </c>
      <c r="K382" t="n">
        <v>0</v>
      </c>
      <c r="L382" t="n">
        <v>0</v>
      </c>
      <c r="M382" t="n">
        <v>0</v>
      </c>
      <c r="N382" t="n">
        <v>0</v>
      </c>
      <c r="O382" t="n">
        <v>0</v>
      </c>
      <c r="P382" t="n">
        <v>0</v>
      </c>
      <c r="Q382" t="n">
        <v>2</v>
      </c>
      <c r="R382" s="2" t="inlineStr">
        <is>
          <t>Orre
Tjäder</t>
        </is>
      </c>
      <c r="S382">
        <f>HYPERLINK("https://klasma.github.io/Logging_1452/artfynd/A 55336-2024 artfynd.xlsx", "A 55336-2024")</f>
        <v/>
      </c>
      <c r="T382">
        <f>HYPERLINK("https://klasma.github.io/Logging_1452/kartor/A 55336-2024 karta.png", "A 55336-2024")</f>
        <v/>
      </c>
      <c r="V382">
        <f>HYPERLINK("https://klasma.github.io/Logging_1452/klagomål/A 55336-2024 FSC-klagomål.docx", "A 55336-2024")</f>
        <v/>
      </c>
      <c r="W382">
        <f>HYPERLINK("https://klasma.github.io/Logging_1452/klagomålsmail/A 55336-2024 FSC-klagomål mail.docx", "A 55336-2024")</f>
        <v/>
      </c>
      <c r="X382">
        <f>HYPERLINK("https://klasma.github.io/Logging_1452/tillsyn/A 55336-2024 tillsynsbegäran.docx", "A 55336-2024")</f>
        <v/>
      </c>
      <c r="Y382">
        <f>HYPERLINK("https://klasma.github.io/Logging_1452/tillsynsmail/A 55336-2024 tillsynsbegäran mail.docx", "A 55336-2024")</f>
        <v/>
      </c>
      <c r="Z382">
        <f>HYPERLINK("https://klasma.github.io/Logging_1452/fåglar/A 55336-2024 prioriterade fågelarter.docx", "A 55336-2024")</f>
        <v/>
      </c>
    </row>
    <row r="383" ht="15" customHeight="1">
      <c r="A383" t="inlineStr">
        <is>
          <t>A 3432-2024</t>
        </is>
      </c>
      <c r="B383" s="1" t="n">
        <v>45317</v>
      </c>
      <c r="C383" s="1" t="n">
        <v>46011</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18199-2025</t>
        </is>
      </c>
      <c r="B384" s="1" t="n">
        <v>45761</v>
      </c>
      <c r="C384" s="1" t="n">
        <v>46011</v>
      </c>
      <c r="D384" t="inlineStr">
        <is>
          <t>VÄSTRA GÖTALANDS LÄN</t>
        </is>
      </c>
      <c r="E384" t="inlineStr">
        <is>
          <t>TANUM</t>
        </is>
      </c>
      <c r="G384" t="n">
        <v>3.2</v>
      </c>
      <c r="H384" t="n">
        <v>2</v>
      </c>
      <c r="I384" t="n">
        <v>0</v>
      </c>
      <c r="J384" t="n">
        <v>0</v>
      </c>
      <c r="K384" t="n">
        <v>0</v>
      </c>
      <c r="L384" t="n">
        <v>0</v>
      </c>
      <c r="M384" t="n">
        <v>0</v>
      </c>
      <c r="N384" t="n">
        <v>0</v>
      </c>
      <c r="O384" t="n">
        <v>0</v>
      </c>
      <c r="P384" t="n">
        <v>0</v>
      </c>
      <c r="Q384" t="n">
        <v>2</v>
      </c>
      <c r="R384" s="2" t="inlineStr">
        <is>
          <t>Mattlummer
Revlummer</t>
        </is>
      </c>
      <c r="S384">
        <f>HYPERLINK("https://klasma.github.io/Logging_1435/artfynd/A 18199-2025 artfynd.xlsx", "A 18199-2025")</f>
        <v/>
      </c>
      <c r="T384">
        <f>HYPERLINK("https://klasma.github.io/Logging_1435/kartor/A 18199-2025 karta.png", "A 18199-2025")</f>
        <v/>
      </c>
      <c r="V384">
        <f>HYPERLINK("https://klasma.github.io/Logging_1435/klagomål/A 18199-2025 FSC-klagomål.docx", "A 18199-2025")</f>
        <v/>
      </c>
      <c r="W384">
        <f>HYPERLINK("https://klasma.github.io/Logging_1435/klagomålsmail/A 18199-2025 FSC-klagomål mail.docx", "A 18199-2025")</f>
        <v/>
      </c>
      <c r="X384">
        <f>HYPERLINK("https://klasma.github.io/Logging_1435/tillsyn/A 18199-2025 tillsynsbegäran.docx", "A 18199-2025")</f>
        <v/>
      </c>
      <c r="Y384">
        <f>HYPERLINK("https://klasma.github.io/Logging_1435/tillsynsmail/A 18199-2025 tillsynsbegäran mail.docx", "A 18199-2025")</f>
        <v/>
      </c>
    </row>
    <row r="385" ht="15" customHeight="1">
      <c r="A385" t="inlineStr">
        <is>
          <t>A 12691-2024</t>
        </is>
      </c>
      <c r="B385" s="1" t="n">
        <v>45384</v>
      </c>
      <c r="C385" s="1" t="n">
        <v>46011</v>
      </c>
      <c r="D385" t="inlineStr">
        <is>
          <t>VÄSTRA GÖTALANDS LÄN</t>
        </is>
      </c>
      <c r="E385" t="inlineStr">
        <is>
          <t>BOLLEBYGD</t>
        </is>
      </c>
      <c r="F385" t="inlineStr">
        <is>
          <t>Kommuner</t>
        </is>
      </c>
      <c r="G385" t="n">
        <v>2.1</v>
      </c>
      <c r="H385" t="n">
        <v>2</v>
      </c>
      <c r="I385" t="n">
        <v>0</v>
      </c>
      <c r="J385" t="n">
        <v>1</v>
      </c>
      <c r="K385" t="n">
        <v>0</v>
      </c>
      <c r="L385" t="n">
        <v>0</v>
      </c>
      <c r="M385" t="n">
        <v>0</v>
      </c>
      <c r="N385" t="n">
        <v>0</v>
      </c>
      <c r="O385" t="n">
        <v>1</v>
      </c>
      <c r="P385" t="n">
        <v>0</v>
      </c>
      <c r="Q385" t="n">
        <v>2</v>
      </c>
      <c r="R385" s="2" t="inlineStr">
        <is>
          <t>Spillkråka
Orre</t>
        </is>
      </c>
      <c r="S385">
        <f>HYPERLINK("https://klasma.github.io/Logging_1443/artfynd/A 12691-2024 artfynd.xlsx", "A 12691-2024")</f>
        <v/>
      </c>
      <c r="T385">
        <f>HYPERLINK("https://klasma.github.io/Logging_1443/kartor/A 12691-2024 karta.png", "A 12691-2024")</f>
        <v/>
      </c>
      <c r="V385">
        <f>HYPERLINK("https://klasma.github.io/Logging_1443/klagomål/A 12691-2024 FSC-klagomål.docx", "A 12691-2024")</f>
        <v/>
      </c>
      <c r="W385">
        <f>HYPERLINK("https://klasma.github.io/Logging_1443/klagomålsmail/A 12691-2024 FSC-klagomål mail.docx", "A 12691-2024")</f>
        <v/>
      </c>
      <c r="X385">
        <f>HYPERLINK("https://klasma.github.io/Logging_1443/tillsyn/A 12691-2024 tillsynsbegäran.docx", "A 12691-2024")</f>
        <v/>
      </c>
      <c r="Y385">
        <f>HYPERLINK("https://klasma.github.io/Logging_1443/tillsynsmail/A 12691-2024 tillsynsbegäran mail.docx", "A 12691-2024")</f>
        <v/>
      </c>
      <c r="Z385">
        <f>HYPERLINK("https://klasma.github.io/Logging_1443/fåglar/A 12691-2024 prioriterade fågelarter.docx", "A 12691-2024")</f>
        <v/>
      </c>
    </row>
    <row r="386" ht="15" customHeight="1">
      <c r="A386" t="inlineStr">
        <is>
          <t>A 60706-2023</t>
        </is>
      </c>
      <c r="B386" s="1" t="n">
        <v>45260</v>
      </c>
      <c r="C386" s="1" t="n">
        <v>46011</v>
      </c>
      <c r="D386" t="inlineStr">
        <is>
          <t>VÄSTRA GÖTALANDS LÄN</t>
        </is>
      </c>
      <c r="E386" t="inlineStr">
        <is>
          <t>STENUNGSUND</t>
        </is>
      </c>
      <c r="G386" t="n">
        <v>2.4</v>
      </c>
      <c r="H386" t="n">
        <v>1</v>
      </c>
      <c r="I386" t="n">
        <v>1</v>
      </c>
      <c r="J386" t="n">
        <v>1</v>
      </c>
      <c r="K386" t="n">
        <v>0</v>
      </c>
      <c r="L386" t="n">
        <v>0</v>
      </c>
      <c r="M386" t="n">
        <v>0</v>
      </c>
      <c r="N386" t="n">
        <v>0</v>
      </c>
      <c r="O386" t="n">
        <v>1</v>
      </c>
      <c r="P386" t="n">
        <v>0</v>
      </c>
      <c r="Q386" t="n">
        <v>2</v>
      </c>
      <c r="R386" s="2" t="inlineStr">
        <is>
          <t>Mindre hackspett
Blåmossa</t>
        </is>
      </c>
      <c r="S386">
        <f>HYPERLINK("https://klasma.github.io/Logging_1415/artfynd/A 60706-2023 artfynd.xlsx", "A 60706-2023")</f>
        <v/>
      </c>
      <c r="T386">
        <f>HYPERLINK("https://klasma.github.io/Logging_1415/kartor/A 60706-2023 karta.png", "A 60706-2023")</f>
        <v/>
      </c>
      <c r="V386">
        <f>HYPERLINK("https://klasma.github.io/Logging_1415/klagomål/A 60706-2023 FSC-klagomål.docx", "A 60706-2023")</f>
        <v/>
      </c>
      <c r="W386">
        <f>HYPERLINK("https://klasma.github.io/Logging_1415/klagomålsmail/A 60706-2023 FSC-klagomål mail.docx", "A 60706-2023")</f>
        <v/>
      </c>
      <c r="X386">
        <f>HYPERLINK("https://klasma.github.io/Logging_1415/tillsyn/A 60706-2023 tillsynsbegäran.docx", "A 60706-2023")</f>
        <v/>
      </c>
      <c r="Y386">
        <f>HYPERLINK("https://klasma.github.io/Logging_1415/tillsynsmail/A 60706-2023 tillsynsbegäran mail.docx", "A 60706-2023")</f>
        <v/>
      </c>
      <c r="Z386">
        <f>HYPERLINK("https://klasma.github.io/Logging_1415/fåglar/A 60706-2023 prioriterade fågelarter.docx", "A 60706-2023")</f>
        <v/>
      </c>
    </row>
    <row r="387" ht="15" customHeight="1">
      <c r="A387" t="inlineStr">
        <is>
          <t>A 8955-2025</t>
        </is>
      </c>
      <c r="B387" s="1" t="n">
        <v>45713.46528935185</v>
      </c>
      <c r="C387" s="1" t="n">
        <v>46011</v>
      </c>
      <c r="D387" t="inlineStr">
        <is>
          <t>VÄSTRA GÖTALANDS LÄN</t>
        </is>
      </c>
      <c r="E387" t="inlineStr">
        <is>
          <t>ALE</t>
        </is>
      </c>
      <c r="G387" t="n">
        <v>1</v>
      </c>
      <c r="H387" t="n">
        <v>2</v>
      </c>
      <c r="I387" t="n">
        <v>0</v>
      </c>
      <c r="J387" t="n">
        <v>1</v>
      </c>
      <c r="K387" t="n">
        <v>0</v>
      </c>
      <c r="L387" t="n">
        <v>0</v>
      </c>
      <c r="M387" t="n">
        <v>0</v>
      </c>
      <c r="N387" t="n">
        <v>0</v>
      </c>
      <c r="O387" t="n">
        <v>1</v>
      </c>
      <c r="P387" t="n">
        <v>0</v>
      </c>
      <c r="Q387" t="n">
        <v>2</v>
      </c>
      <c r="R387" s="2" t="inlineStr">
        <is>
          <t>Spillkråka
Revlummer</t>
        </is>
      </c>
      <c r="S387">
        <f>HYPERLINK("https://klasma.github.io/Logging_1440/artfynd/A 8955-2025 artfynd.xlsx", "A 8955-2025")</f>
        <v/>
      </c>
      <c r="T387">
        <f>HYPERLINK("https://klasma.github.io/Logging_1440/kartor/A 8955-2025 karta.png", "A 8955-2025")</f>
        <v/>
      </c>
      <c r="V387">
        <f>HYPERLINK("https://klasma.github.io/Logging_1440/klagomål/A 8955-2025 FSC-klagomål.docx", "A 8955-2025")</f>
        <v/>
      </c>
      <c r="W387">
        <f>HYPERLINK("https://klasma.github.io/Logging_1440/klagomålsmail/A 8955-2025 FSC-klagomål mail.docx", "A 8955-2025")</f>
        <v/>
      </c>
      <c r="X387">
        <f>HYPERLINK("https://klasma.github.io/Logging_1440/tillsyn/A 8955-2025 tillsynsbegäran.docx", "A 8955-2025")</f>
        <v/>
      </c>
      <c r="Y387">
        <f>HYPERLINK("https://klasma.github.io/Logging_1440/tillsynsmail/A 8955-2025 tillsynsbegäran mail.docx", "A 8955-2025")</f>
        <v/>
      </c>
      <c r="Z387">
        <f>HYPERLINK("https://klasma.github.io/Logging_1440/fåglar/A 8955-2025 prioriterade fågelarter.docx", "A 8955-2025")</f>
        <v/>
      </c>
    </row>
    <row r="388" ht="15" customHeight="1">
      <c r="A388" t="inlineStr">
        <is>
          <t>A 42660-2024</t>
        </is>
      </c>
      <c r="B388" s="1" t="n">
        <v>45566.33841435185</v>
      </c>
      <c r="C388" s="1" t="n">
        <v>46011</v>
      </c>
      <c r="D388" t="inlineStr">
        <is>
          <t>VÄSTRA GÖTALANDS LÄN</t>
        </is>
      </c>
      <c r="E388" t="inlineStr">
        <is>
          <t>ALE</t>
        </is>
      </c>
      <c r="G388" t="n">
        <v>2.5</v>
      </c>
      <c r="H388" t="n">
        <v>2</v>
      </c>
      <c r="I388" t="n">
        <v>0</v>
      </c>
      <c r="J388" t="n">
        <v>0</v>
      </c>
      <c r="K388" t="n">
        <v>0</v>
      </c>
      <c r="L388" t="n">
        <v>0</v>
      </c>
      <c r="M388" t="n">
        <v>0</v>
      </c>
      <c r="N388" t="n">
        <v>0</v>
      </c>
      <c r="O388" t="n">
        <v>0</v>
      </c>
      <c r="P388" t="n">
        <v>0</v>
      </c>
      <c r="Q388" t="n">
        <v>2</v>
      </c>
      <c r="R388" s="2" t="inlineStr">
        <is>
          <t>Mattlummer
Revlummer</t>
        </is>
      </c>
      <c r="S388">
        <f>HYPERLINK("https://klasma.github.io/Logging_1440/artfynd/A 42660-2024 artfynd.xlsx", "A 42660-2024")</f>
        <v/>
      </c>
      <c r="T388">
        <f>HYPERLINK("https://klasma.github.io/Logging_1440/kartor/A 42660-2024 karta.png", "A 42660-2024")</f>
        <v/>
      </c>
      <c r="V388">
        <f>HYPERLINK("https://klasma.github.io/Logging_1440/klagomål/A 42660-2024 FSC-klagomål.docx", "A 42660-2024")</f>
        <v/>
      </c>
      <c r="W388">
        <f>HYPERLINK("https://klasma.github.io/Logging_1440/klagomålsmail/A 42660-2024 FSC-klagomål mail.docx", "A 42660-2024")</f>
        <v/>
      </c>
      <c r="X388">
        <f>HYPERLINK("https://klasma.github.io/Logging_1440/tillsyn/A 42660-2024 tillsynsbegäran.docx", "A 42660-2024")</f>
        <v/>
      </c>
      <c r="Y388">
        <f>HYPERLINK("https://klasma.github.io/Logging_1440/tillsynsmail/A 42660-2024 tillsynsbegäran mail.docx", "A 42660-2024")</f>
        <v/>
      </c>
    </row>
    <row r="389" ht="15" customHeight="1">
      <c r="A389" t="inlineStr">
        <is>
          <t>A 64717-2023</t>
        </is>
      </c>
      <c r="B389" s="1" t="n">
        <v>45281.73535879629</v>
      </c>
      <c r="C389" s="1" t="n">
        <v>46011</v>
      </c>
      <c r="D389" t="inlineStr">
        <is>
          <t>VÄSTRA GÖTALANDS LÄN</t>
        </is>
      </c>
      <c r="E389" t="inlineStr">
        <is>
          <t>DALS-ED</t>
        </is>
      </c>
      <c r="G389" t="n">
        <v>2.9</v>
      </c>
      <c r="H389" t="n">
        <v>1</v>
      </c>
      <c r="I389" t="n">
        <v>1</v>
      </c>
      <c r="J389" t="n">
        <v>1</v>
      </c>
      <c r="K389" t="n">
        <v>0</v>
      </c>
      <c r="L389" t="n">
        <v>0</v>
      </c>
      <c r="M389" t="n">
        <v>0</v>
      </c>
      <c r="N389" t="n">
        <v>0</v>
      </c>
      <c r="O389" t="n">
        <v>1</v>
      </c>
      <c r="P389" t="n">
        <v>0</v>
      </c>
      <c r="Q389" t="n">
        <v>2</v>
      </c>
      <c r="R389" s="2" t="inlineStr">
        <is>
          <t>Spillkråka
Rävticka</t>
        </is>
      </c>
      <c r="S389">
        <f>HYPERLINK("https://klasma.github.io/Logging_1438/artfynd/A 64717-2023 artfynd.xlsx", "A 64717-2023")</f>
        <v/>
      </c>
      <c r="T389">
        <f>HYPERLINK("https://klasma.github.io/Logging_1438/kartor/A 64717-2023 karta.png", "A 64717-2023")</f>
        <v/>
      </c>
      <c r="V389">
        <f>HYPERLINK("https://klasma.github.io/Logging_1438/klagomål/A 64717-2023 FSC-klagomål.docx", "A 64717-2023")</f>
        <v/>
      </c>
      <c r="W389">
        <f>HYPERLINK("https://klasma.github.io/Logging_1438/klagomålsmail/A 64717-2023 FSC-klagomål mail.docx", "A 64717-2023")</f>
        <v/>
      </c>
      <c r="X389">
        <f>HYPERLINK("https://klasma.github.io/Logging_1438/tillsyn/A 64717-2023 tillsynsbegäran.docx", "A 64717-2023")</f>
        <v/>
      </c>
      <c r="Y389">
        <f>HYPERLINK("https://klasma.github.io/Logging_1438/tillsynsmail/A 64717-2023 tillsynsbegäran mail.docx", "A 64717-2023")</f>
        <v/>
      </c>
      <c r="Z389">
        <f>HYPERLINK("https://klasma.github.io/Logging_1438/fåglar/A 64717-2023 prioriterade fågelarter.docx", "A 64717-2023")</f>
        <v/>
      </c>
    </row>
    <row r="390" ht="15" customHeight="1">
      <c r="A390" t="inlineStr">
        <is>
          <t>A 7261-2025</t>
        </is>
      </c>
      <c r="B390" s="1" t="n">
        <v>45702.58821759259</v>
      </c>
      <c r="C390" s="1" t="n">
        <v>46011</v>
      </c>
      <c r="D390" t="inlineStr">
        <is>
          <t>VÄSTRA GÖTALANDS LÄN</t>
        </is>
      </c>
      <c r="E390" t="inlineStr">
        <is>
          <t>LIDKÖPING</t>
        </is>
      </c>
      <c r="G390" t="n">
        <v>2.3</v>
      </c>
      <c r="H390" t="n">
        <v>1</v>
      </c>
      <c r="I390" t="n">
        <v>1</v>
      </c>
      <c r="J390" t="n">
        <v>0</v>
      </c>
      <c r="K390" t="n">
        <v>1</v>
      </c>
      <c r="L390" t="n">
        <v>0</v>
      </c>
      <c r="M390" t="n">
        <v>0</v>
      </c>
      <c r="N390" t="n">
        <v>0</v>
      </c>
      <c r="O390" t="n">
        <v>1</v>
      </c>
      <c r="P390" t="n">
        <v>1</v>
      </c>
      <c r="Q390" t="n">
        <v>2</v>
      </c>
      <c r="R390" s="2" t="inlineStr">
        <is>
          <t>Knärot
Västlig hakmossa</t>
        </is>
      </c>
      <c r="S390">
        <f>HYPERLINK("https://klasma.github.io/Logging_1494/artfynd/A 7261-2025 artfynd.xlsx", "A 7261-2025")</f>
        <v/>
      </c>
      <c r="T390">
        <f>HYPERLINK("https://klasma.github.io/Logging_1494/kartor/A 7261-2025 karta.png", "A 7261-2025")</f>
        <v/>
      </c>
      <c r="U390">
        <f>HYPERLINK("https://klasma.github.io/Logging_1494/knärot/A 7261-2025 karta knärot.png", "A 7261-2025")</f>
        <v/>
      </c>
      <c r="V390">
        <f>HYPERLINK("https://klasma.github.io/Logging_1494/klagomål/A 7261-2025 FSC-klagomål.docx", "A 7261-2025")</f>
        <v/>
      </c>
      <c r="W390">
        <f>HYPERLINK("https://klasma.github.io/Logging_1494/klagomålsmail/A 7261-2025 FSC-klagomål mail.docx", "A 7261-2025")</f>
        <v/>
      </c>
      <c r="X390">
        <f>HYPERLINK("https://klasma.github.io/Logging_1494/tillsyn/A 7261-2025 tillsynsbegäran.docx", "A 7261-2025")</f>
        <v/>
      </c>
      <c r="Y390">
        <f>HYPERLINK("https://klasma.github.io/Logging_1494/tillsynsmail/A 7261-2025 tillsynsbegäran mail.docx", "A 7261-2025")</f>
        <v/>
      </c>
    </row>
    <row r="391" ht="15" customHeight="1">
      <c r="A391" t="inlineStr">
        <is>
          <t>A 5637-2024</t>
        </is>
      </c>
      <c r="B391" s="1" t="n">
        <v>45334.6115162037</v>
      </c>
      <c r="C391" s="1" t="n">
        <v>46011</v>
      </c>
      <c r="D391" t="inlineStr">
        <is>
          <t>VÄSTRA GÖTALANDS LÄN</t>
        </is>
      </c>
      <c r="E391" t="inlineStr">
        <is>
          <t>KUNGÄLV</t>
        </is>
      </c>
      <c r="G391" t="n">
        <v>1.8</v>
      </c>
      <c r="H391" t="n">
        <v>0</v>
      </c>
      <c r="I391" t="n">
        <v>0</v>
      </c>
      <c r="J391" t="n">
        <v>2</v>
      </c>
      <c r="K391" t="n">
        <v>0</v>
      </c>
      <c r="L391" t="n">
        <v>0</v>
      </c>
      <c r="M391" t="n">
        <v>0</v>
      </c>
      <c r="N391" t="n">
        <v>0</v>
      </c>
      <c r="O391" t="n">
        <v>2</v>
      </c>
      <c r="P391" t="n">
        <v>0</v>
      </c>
      <c r="Q391" t="n">
        <v>2</v>
      </c>
      <c r="R391" s="2" t="inlineStr">
        <is>
          <t>Klofibbla
Åkerrödtoppa</t>
        </is>
      </c>
      <c r="S391">
        <f>HYPERLINK("https://klasma.github.io/Logging_1482/artfynd/A 5637-2024 artfynd.xlsx", "A 5637-2024")</f>
        <v/>
      </c>
      <c r="T391">
        <f>HYPERLINK("https://klasma.github.io/Logging_1482/kartor/A 5637-2024 karta.png", "A 5637-2024")</f>
        <v/>
      </c>
      <c r="V391">
        <f>HYPERLINK("https://klasma.github.io/Logging_1482/klagomål/A 5637-2024 FSC-klagomål.docx", "A 5637-2024")</f>
        <v/>
      </c>
      <c r="W391">
        <f>HYPERLINK("https://klasma.github.io/Logging_1482/klagomålsmail/A 5637-2024 FSC-klagomål mail.docx", "A 5637-2024")</f>
        <v/>
      </c>
      <c r="X391">
        <f>HYPERLINK("https://klasma.github.io/Logging_1482/tillsyn/A 5637-2024 tillsynsbegäran.docx", "A 5637-2024")</f>
        <v/>
      </c>
      <c r="Y391">
        <f>HYPERLINK("https://klasma.github.io/Logging_1482/tillsynsmail/A 5637-2024 tillsynsbegäran mail.docx", "A 5637-2024")</f>
        <v/>
      </c>
    </row>
    <row r="392" ht="15" customHeight="1">
      <c r="A392" t="inlineStr">
        <is>
          <t>A 22060-2025</t>
        </is>
      </c>
      <c r="B392" s="1" t="n">
        <v>45785</v>
      </c>
      <c r="C392" s="1" t="n">
        <v>46011</v>
      </c>
      <c r="D392" t="inlineStr">
        <is>
          <t>VÄSTRA GÖTALANDS LÄN</t>
        </is>
      </c>
      <c r="E392" t="inlineStr">
        <is>
          <t>ULRICEHAMN</t>
        </is>
      </c>
      <c r="G392" t="n">
        <v>2.9</v>
      </c>
      <c r="H392" t="n">
        <v>2</v>
      </c>
      <c r="I392" t="n">
        <v>0</v>
      </c>
      <c r="J392" t="n">
        <v>2</v>
      </c>
      <c r="K392" t="n">
        <v>0</v>
      </c>
      <c r="L392" t="n">
        <v>0</v>
      </c>
      <c r="M392" t="n">
        <v>0</v>
      </c>
      <c r="N392" t="n">
        <v>0</v>
      </c>
      <c r="O392" t="n">
        <v>2</v>
      </c>
      <c r="P392" t="n">
        <v>0</v>
      </c>
      <c r="Q392" t="n">
        <v>2</v>
      </c>
      <c r="R392" s="2" t="inlineStr">
        <is>
          <t>Rödvingetrast
Spillkråka</t>
        </is>
      </c>
      <c r="S392">
        <f>HYPERLINK("https://klasma.github.io/Logging_1491/artfynd/A 22060-2025 artfynd.xlsx", "A 22060-2025")</f>
        <v/>
      </c>
      <c r="T392">
        <f>HYPERLINK("https://klasma.github.io/Logging_1491/kartor/A 22060-2025 karta.png", "A 22060-2025")</f>
        <v/>
      </c>
      <c r="V392">
        <f>HYPERLINK("https://klasma.github.io/Logging_1491/klagomål/A 22060-2025 FSC-klagomål.docx", "A 22060-2025")</f>
        <v/>
      </c>
      <c r="W392">
        <f>HYPERLINK("https://klasma.github.io/Logging_1491/klagomålsmail/A 22060-2025 FSC-klagomål mail.docx", "A 22060-2025")</f>
        <v/>
      </c>
      <c r="X392">
        <f>HYPERLINK("https://klasma.github.io/Logging_1491/tillsyn/A 22060-2025 tillsynsbegäran.docx", "A 22060-2025")</f>
        <v/>
      </c>
      <c r="Y392">
        <f>HYPERLINK("https://klasma.github.io/Logging_1491/tillsynsmail/A 22060-2025 tillsynsbegäran mail.docx", "A 22060-2025")</f>
        <v/>
      </c>
      <c r="Z392">
        <f>HYPERLINK("https://klasma.github.io/Logging_1491/fåglar/A 22060-2025 prioriterade fågelarter.docx", "A 22060-2025")</f>
        <v/>
      </c>
    </row>
    <row r="393" ht="15" customHeight="1">
      <c r="A393" t="inlineStr">
        <is>
          <t>A 8666-2024</t>
        </is>
      </c>
      <c r="B393" s="1" t="n">
        <v>45352</v>
      </c>
      <c r="C393" s="1" t="n">
        <v>46011</v>
      </c>
      <c r="D393" t="inlineStr">
        <is>
          <t>VÄSTRA GÖTALANDS LÄN</t>
        </is>
      </c>
      <c r="E393" t="inlineStr">
        <is>
          <t>UDDEVALLA</t>
        </is>
      </c>
      <c r="G393" t="n">
        <v>4.6</v>
      </c>
      <c r="H393" t="n">
        <v>1</v>
      </c>
      <c r="I393" t="n">
        <v>1</v>
      </c>
      <c r="J393" t="n">
        <v>1</v>
      </c>
      <c r="K393" t="n">
        <v>0</v>
      </c>
      <c r="L393" t="n">
        <v>0</v>
      </c>
      <c r="M393" t="n">
        <v>0</v>
      </c>
      <c r="N393" t="n">
        <v>0</v>
      </c>
      <c r="O393" t="n">
        <v>1</v>
      </c>
      <c r="P393" t="n">
        <v>0</v>
      </c>
      <c r="Q393" t="n">
        <v>2</v>
      </c>
      <c r="R393" s="2" t="inlineStr">
        <is>
          <t>Spillkråka
Västlig hakmossa</t>
        </is>
      </c>
      <c r="S393">
        <f>HYPERLINK("https://klasma.github.io/Logging_1485/artfynd/A 8666-2024 artfynd.xlsx", "A 8666-2024")</f>
        <v/>
      </c>
      <c r="T393">
        <f>HYPERLINK("https://klasma.github.io/Logging_1485/kartor/A 8666-2024 karta.png", "A 8666-2024")</f>
        <v/>
      </c>
      <c r="V393">
        <f>HYPERLINK("https://klasma.github.io/Logging_1485/klagomål/A 8666-2024 FSC-klagomål.docx", "A 8666-2024")</f>
        <v/>
      </c>
      <c r="W393">
        <f>HYPERLINK("https://klasma.github.io/Logging_1485/klagomålsmail/A 8666-2024 FSC-klagomål mail.docx", "A 8666-2024")</f>
        <v/>
      </c>
      <c r="X393">
        <f>HYPERLINK("https://klasma.github.io/Logging_1485/tillsyn/A 8666-2024 tillsynsbegäran.docx", "A 8666-2024")</f>
        <v/>
      </c>
      <c r="Y393">
        <f>HYPERLINK("https://klasma.github.io/Logging_1485/tillsynsmail/A 8666-2024 tillsynsbegäran mail.docx", "A 8666-2024")</f>
        <v/>
      </c>
      <c r="Z393">
        <f>HYPERLINK("https://klasma.github.io/Logging_1485/fåglar/A 8666-2024 prioriterade fågelarter.docx", "A 8666-2024")</f>
        <v/>
      </c>
    </row>
    <row r="394" ht="15" customHeight="1">
      <c r="A394" t="inlineStr">
        <is>
          <t>A 13740-2024</t>
        </is>
      </c>
      <c r="B394" s="1" t="n">
        <v>45390</v>
      </c>
      <c r="C394" s="1" t="n">
        <v>46011</v>
      </c>
      <c r="D394" t="inlineStr">
        <is>
          <t>VÄSTRA GÖTALANDS LÄN</t>
        </is>
      </c>
      <c r="E394" t="inlineStr">
        <is>
          <t>BOLLEBYGD</t>
        </is>
      </c>
      <c r="F394" t="inlineStr">
        <is>
          <t>Kommuner</t>
        </is>
      </c>
      <c r="G394" t="n">
        <v>2.6</v>
      </c>
      <c r="H394" t="n">
        <v>2</v>
      </c>
      <c r="I394" t="n">
        <v>0</v>
      </c>
      <c r="J394" t="n">
        <v>1</v>
      </c>
      <c r="K394" t="n">
        <v>0</v>
      </c>
      <c r="L394" t="n">
        <v>0</v>
      </c>
      <c r="M394" t="n">
        <v>0</v>
      </c>
      <c r="N394" t="n">
        <v>0</v>
      </c>
      <c r="O394" t="n">
        <v>1</v>
      </c>
      <c r="P394" t="n">
        <v>0</v>
      </c>
      <c r="Q394" t="n">
        <v>2</v>
      </c>
      <c r="R394" s="2" t="inlineStr">
        <is>
          <t>Talltita
Tjäder</t>
        </is>
      </c>
      <c r="S394">
        <f>HYPERLINK("https://klasma.github.io/Logging_1443/artfynd/A 13740-2024 artfynd.xlsx", "A 13740-2024")</f>
        <v/>
      </c>
      <c r="T394">
        <f>HYPERLINK("https://klasma.github.io/Logging_1443/kartor/A 13740-2024 karta.png", "A 13740-2024")</f>
        <v/>
      </c>
      <c r="V394">
        <f>HYPERLINK("https://klasma.github.io/Logging_1443/klagomål/A 13740-2024 FSC-klagomål.docx", "A 13740-2024")</f>
        <v/>
      </c>
      <c r="W394">
        <f>HYPERLINK("https://klasma.github.io/Logging_1443/klagomålsmail/A 13740-2024 FSC-klagomål mail.docx", "A 13740-2024")</f>
        <v/>
      </c>
      <c r="X394">
        <f>HYPERLINK("https://klasma.github.io/Logging_1443/tillsyn/A 13740-2024 tillsynsbegäran.docx", "A 13740-2024")</f>
        <v/>
      </c>
      <c r="Y394">
        <f>HYPERLINK("https://klasma.github.io/Logging_1443/tillsynsmail/A 13740-2024 tillsynsbegäran mail.docx", "A 13740-2024")</f>
        <v/>
      </c>
      <c r="Z394">
        <f>HYPERLINK("https://klasma.github.io/Logging_1443/fåglar/A 13740-2024 prioriterade fågelarter.docx", "A 13740-2024")</f>
        <v/>
      </c>
    </row>
    <row r="395" ht="15" customHeight="1">
      <c r="A395" t="inlineStr">
        <is>
          <t>A 11692-2025</t>
        </is>
      </c>
      <c r="B395" s="1" t="n">
        <v>45727.56438657407</v>
      </c>
      <c r="C395" s="1" t="n">
        <v>46011</v>
      </c>
      <c r="D395" t="inlineStr">
        <is>
          <t>VÄSTRA GÖTALANDS LÄN</t>
        </is>
      </c>
      <c r="E395" t="inlineStr">
        <is>
          <t>TÖREBODA</t>
        </is>
      </c>
      <c r="G395" t="n">
        <v>0.9</v>
      </c>
      <c r="H395" t="n">
        <v>0</v>
      </c>
      <c r="I395" t="n">
        <v>2</v>
      </c>
      <c r="J395" t="n">
        <v>0</v>
      </c>
      <c r="K395" t="n">
        <v>0</v>
      </c>
      <c r="L395" t="n">
        <v>0</v>
      </c>
      <c r="M395" t="n">
        <v>0</v>
      </c>
      <c r="N395" t="n">
        <v>0</v>
      </c>
      <c r="O395" t="n">
        <v>0</v>
      </c>
      <c r="P395" t="n">
        <v>0</v>
      </c>
      <c r="Q395" t="n">
        <v>2</v>
      </c>
      <c r="R395" s="2" t="inlineStr">
        <is>
          <t>Björksplintborre
Jättesvampmal</t>
        </is>
      </c>
      <c r="S395">
        <f>HYPERLINK("https://klasma.github.io/Logging_1473/artfynd/A 11692-2025 artfynd.xlsx", "A 11692-2025")</f>
        <v/>
      </c>
      <c r="T395">
        <f>HYPERLINK("https://klasma.github.io/Logging_1473/kartor/A 11692-2025 karta.png", "A 11692-2025")</f>
        <v/>
      </c>
      <c r="V395">
        <f>HYPERLINK("https://klasma.github.io/Logging_1473/klagomål/A 11692-2025 FSC-klagomål.docx", "A 11692-2025")</f>
        <v/>
      </c>
      <c r="W395">
        <f>HYPERLINK("https://klasma.github.io/Logging_1473/klagomålsmail/A 11692-2025 FSC-klagomål mail.docx", "A 11692-2025")</f>
        <v/>
      </c>
      <c r="X395">
        <f>HYPERLINK("https://klasma.github.io/Logging_1473/tillsyn/A 11692-2025 tillsynsbegäran.docx", "A 11692-2025")</f>
        <v/>
      </c>
      <c r="Y395">
        <f>HYPERLINK("https://klasma.github.io/Logging_1473/tillsynsmail/A 11692-2025 tillsynsbegäran mail.docx", "A 11692-2025")</f>
        <v/>
      </c>
    </row>
    <row r="396" ht="15" customHeight="1">
      <c r="A396" t="inlineStr">
        <is>
          <t>A 23255-2025</t>
        </is>
      </c>
      <c r="B396" s="1" t="n">
        <v>45791.5346875</v>
      </c>
      <c r="C396" s="1" t="n">
        <v>46011</v>
      </c>
      <c r="D396" t="inlineStr">
        <is>
          <t>VÄSTRA GÖTALANDS LÄN</t>
        </is>
      </c>
      <c r="E396" t="inlineStr">
        <is>
          <t>ORUST</t>
        </is>
      </c>
      <c r="G396" t="n">
        <v>4</v>
      </c>
      <c r="H396" t="n">
        <v>1</v>
      </c>
      <c r="I396" t="n">
        <v>1</v>
      </c>
      <c r="J396" t="n">
        <v>0</v>
      </c>
      <c r="K396" t="n">
        <v>0</v>
      </c>
      <c r="L396" t="n">
        <v>0</v>
      </c>
      <c r="M396" t="n">
        <v>0</v>
      </c>
      <c r="N396" t="n">
        <v>0</v>
      </c>
      <c r="O396" t="n">
        <v>0</v>
      </c>
      <c r="P396" t="n">
        <v>0</v>
      </c>
      <c r="Q396" t="n">
        <v>2</v>
      </c>
      <c r="R396" s="2" t="inlineStr">
        <is>
          <t>Västlig hakmossa
Äkta lopplummer</t>
        </is>
      </c>
      <c r="S396">
        <f>HYPERLINK("https://klasma.github.io/Logging_1421/artfynd/A 23255-2025 artfynd.xlsx", "A 23255-2025")</f>
        <v/>
      </c>
      <c r="T396">
        <f>HYPERLINK("https://klasma.github.io/Logging_1421/kartor/A 23255-2025 karta.png", "A 23255-2025")</f>
        <v/>
      </c>
      <c r="V396">
        <f>HYPERLINK("https://klasma.github.io/Logging_1421/klagomål/A 23255-2025 FSC-klagomål.docx", "A 23255-2025")</f>
        <v/>
      </c>
      <c r="W396">
        <f>HYPERLINK("https://klasma.github.io/Logging_1421/klagomålsmail/A 23255-2025 FSC-klagomål mail.docx", "A 23255-2025")</f>
        <v/>
      </c>
      <c r="X396">
        <f>HYPERLINK("https://klasma.github.io/Logging_1421/tillsyn/A 23255-2025 tillsynsbegäran.docx", "A 23255-2025")</f>
        <v/>
      </c>
      <c r="Y396">
        <f>HYPERLINK("https://klasma.github.io/Logging_1421/tillsynsmail/A 23255-2025 tillsynsbegäran mail.docx", "A 23255-2025")</f>
        <v/>
      </c>
    </row>
    <row r="397" ht="15" customHeight="1">
      <c r="A397" t="inlineStr">
        <is>
          <t>A 48330-2021</t>
        </is>
      </c>
      <c r="B397" s="1" t="n">
        <v>44450</v>
      </c>
      <c r="C397" s="1" t="n">
        <v>46011</v>
      </c>
      <c r="D397" t="inlineStr">
        <is>
          <t>VÄSTRA GÖTALANDS LÄN</t>
        </is>
      </c>
      <c r="E397" t="inlineStr">
        <is>
          <t>ÅMÅL</t>
        </is>
      </c>
      <c r="G397" t="n">
        <v>1.9</v>
      </c>
      <c r="H397" t="n">
        <v>1</v>
      </c>
      <c r="I397" t="n">
        <v>0</v>
      </c>
      <c r="J397" t="n">
        <v>0</v>
      </c>
      <c r="K397" t="n">
        <v>0</v>
      </c>
      <c r="L397" t="n">
        <v>0</v>
      </c>
      <c r="M397" t="n">
        <v>0</v>
      </c>
      <c r="N397" t="n">
        <v>0</v>
      </c>
      <c r="O397" t="n">
        <v>0</v>
      </c>
      <c r="P397" t="n">
        <v>0</v>
      </c>
      <c r="Q397" t="n">
        <v>1</v>
      </c>
      <c r="R397" s="2" t="inlineStr">
        <is>
          <t>Skogsödla</t>
        </is>
      </c>
      <c r="S397">
        <f>HYPERLINK("https://klasma.github.io/Logging_1492/artfynd/A 48330-2021 artfynd.xlsx", "A 48330-2021")</f>
        <v/>
      </c>
      <c r="T397">
        <f>HYPERLINK("https://klasma.github.io/Logging_1492/kartor/A 48330-2021 karta.png", "A 48330-2021")</f>
        <v/>
      </c>
      <c r="V397">
        <f>HYPERLINK("https://klasma.github.io/Logging_1492/klagomål/A 48330-2021 FSC-klagomål.docx", "A 48330-2021")</f>
        <v/>
      </c>
      <c r="W397">
        <f>HYPERLINK("https://klasma.github.io/Logging_1492/klagomålsmail/A 48330-2021 FSC-klagomål mail.docx", "A 48330-2021")</f>
        <v/>
      </c>
      <c r="X397">
        <f>HYPERLINK("https://klasma.github.io/Logging_1492/tillsyn/A 48330-2021 tillsynsbegäran.docx", "A 48330-2021")</f>
        <v/>
      </c>
      <c r="Y397">
        <f>HYPERLINK("https://klasma.github.io/Logging_1492/tillsynsmail/A 48330-2021 tillsynsbegäran mail.docx", "A 48330-2021")</f>
        <v/>
      </c>
    </row>
    <row r="398" ht="15" customHeight="1">
      <c r="A398" t="inlineStr">
        <is>
          <t>A 59514-2021</t>
        </is>
      </c>
      <c r="B398" s="1" t="n">
        <v>44491.56581018519</v>
      </c>
      <c r="C398" s="1" t="n">
        <v>46011</v>
      </c>
      <c r="D398" t="inlineStr">
        <is>
          <t>VÄSTRA GÖTALANDS LÄN</t>
        </is>
      </c>
      <c r="E398" t="inlineStr">
        <is>
          <t>MUNKEDAL</t>
        </is>
      </c>
      <c r="G398" t="n">
        <v>9.199999999999999</v>
      </c>
      <c r="H398" t="n">
        <v>1</v>
      </c>
      <c r="I398" t="n">
        <v>0</v>
      </c>
      <c r="J398" t="n">
        <v>1</v>
      </c>
      <c r="K398" t="n">
        <v>0</v>
      </c>
      <c r="L398" t="n">
        <v>0</v>
      </c>
      <c r="M398" t="n">
        <v>0</v>
      </c>
      <c r="N398" t="n">
        <v>0</v>
      </c>
      <c r="O398" t="n">
        <v>1</v>
      </c>
      <c r="P398" t="n">
        <v>0</v>
      </c>
      <c r="Q398" t="n">
        <v>1</v>
      </c>
      <c r="R398" s="2" t="inlineStr">
        <is>
          <t>Kungsörn</t>
        </is>
      </c>
      <c r="S398">
        <f>HYPERLINK("https://klasma.github.io/Logging_1430/artfynd/A 59514-2021 artfynd.xlsx", "A 59514-2021")</f>
        <v/>
      </c>
      <c r="T398">
        <f>HYPERLINK("https://klasma.github.io/Logging_1430/kartor/A 59514-2021 karta.png", "A 59514-2021")</f>
        <v/>
      </c>
      <c r="V398">
        <f>HYPERLINK("https://klasma.github.io/Logging_1430/klagomål/A 59514-2021 FSC-klagomål.docx", "A 59514-2021")</f>
        <v/>
      </c>
      <c r="W398">
        <f>HYPERLINK("https://klasma.github.io/Logging_1430/klagomålsmail/A 59514-2021 FSC-klagomål mail.docx", "A 59514-2021")</f>
        <v/>
      </c>
      <c r="X398">
        <f>HYPERLINK("https://klasma.github.io/Logging_1430/tillsyn/A 59514-2021 tillsynsbegäran.docx", "A 59514-2021")</f>
        <v/>
      </c>
      <c r="Y398">
        <f>HYPERLINK("https://klasma.github.io/Logging_1430/tillsynsmail/A 59514-2021 tillsynsbegäran mail.docx", "A 59514-2021")</f>
        <v/>
      </c>
      <c r="Z398">
        <f>HYPERLINK("https://klasma.github.io/Logging_1430/fåglar/A 59514-2021 prioriterade fågelarter.docx", "A 59514-2021")</f>
        <v/>
      </c>
    </row>
    <row r="399" ht="15" customHeight="1">
      <c r="A399" t="inlineStr">
        <is>
          <t>A 73714-2021</t>
        </is>
      </c>
      <c r="B399" s="1" t="n">
        <v>44551</v>
      </c>
      <c r="C399" s="1" t="n">
        <v>46011</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46011</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13597-2021</t>
        </is>
      </c>
      <c r="B401" s="1" t="n">
        <v>44274</v>
      </c>
      <c r="C401" s="1" t="n">
        <v>46011</v>
      </c>
      <c r="D401" t="inlineStr">
        <is>
          <t>VÄSTRA GÖTALANDS LÄN</t>
        </is>
      </c>
      <c r="E401" t="inlineStr">
        <is>
          <t>TROLLHÄTTAN</t>
        </is>
      </c>
      <c r="G401" t="n">
        <v>1.6</v>
      </c>
      <c r="H401" t="n">
        <v>1</v>
      </c>
      <c r="I401" t="n">
        <v>0</v>
      </c>
      <c r="J401" t="n">
        <v>0</v>
      </c>
      <c r="K401" t="n">
        <v>0</v>
      </c>
      <c r="L401" t="n">
        <v>0</v>
      </c>
      <c r="M401" t="n">
        <v>0</v>
      </c>
      <c r="N401" t="n">
        <v>0</v>
      </c>
      <c r="O401" t="n">
        <v>0</v>
      </c>
      <c r="P401" t="n">
        <v>0</v>
      </c>
      <c r="Q401" t="n">
        <v>1</v>
      </c>
      <c r="R401" s="2" t="inlineStr">
        <is>
          <t>Skogsödla</t>
        </is>
      </c>
      <c r="S401">
        <f>HYPERLINK("https://klasma.github.io/Logging_1488/artfynd/A 13597-2021 artfynd.xlsx", "A 13597-2021")</f>
        <v/>
      </c>
      <c r="T401">
        <f>HYPERLINK("https://klasma.github.io/Logging_1488/kartor/A 13597-2021 karta.png", "A 13597-2021")</f>
        <v/>
      </c>
      <c r="V401">
        <f>HYPERLINK("https://klasma.github.io/Logging_1488/klagomål/A 13597-2021 FSC-klagomål.docx", "A 13597-2021")</f>
        <v/>
      </c>
      <c r="W401">
        <f>HYPERLINK("https://klasma.github.io/Logging_1488/klagomålsmail/A 13597-2021 FSC-klagomål mail.docx", "A 13597-2021")</f>
        <v/>
      </c>
      <c r="X401">
        <f>HYPERLINK("https://klasma.github.io/Logging_1488/tillsyn/A 13597-2021 tillsynsbegäran.docx", "A 13597-2021")</f>
        <v/>
      </c>
      <c r="Y401">
        <f>HYPERLINK("https://klasma.github.io/Logging_1488/tillsynsmail/A 13597-2021 tillsynsbegäran mail.docx", "A 13597-2021")</f>
        <v/>
      </c>
    </row>
    <row r="402" ht="15" customHeight="1">
      <c r="A402" t="inlineStr">
        <is>
          <t>A 29668-2021</t>
        </is>
      </c>
      <c r="B402" s="1" t="n">
        <v>44361</v>
      </c>
      <c r="C402" s="1" t="n">
        <v>46011</v>
      </c>
      <c r="D402" t="inlineStr">
        <is>
          <t>VÄSTRA GÖTALANDS LÄN</t>
        </is>
      </c>
      <c r="E402" t="inlineStr">
        <is>
          <t>TANUM</t>
        </is>
      </c>
      <c r="F402" t="inlineStr">
        <is>
          <t>Kyrkan</t>
        </is>
      </c>
      <c r="G402" t="n">
        <v>4.2</v>
      </c>
      <c r="H402" t="n">
        <v>1</v>
      </c>
      <c r="I402" t="n">
        <v>0</v>
      </c>
      <c r="J402" t="n">
        <v>1</v>
      </c>
      <c r="K402" t="n">
        <v>0</v>
      </c>
      <c r="L402" t="n">
        <v>0</v>
      </c>
      <c r="M402" t="n">
        <v>0</v>
      </c>
      <c r="N402" t="n">
        <v>0</v>
      </c>
      <c r="O402" t="n">
        <v>1</v>
      </c>
      <c r="P402" t="n">
        <v>0</v>
      </c>
      <c r="Q402" t="n">
        <v>1</v>
      </c>
      <c r="R402" s="2" t="inlineStr">
        <is>
          <t>Stenfalk</t>
        </is>
      </c>
      <c r="S402">
        <f>HYPERLINK("https://klasma.github.io/Logging_1435/artfynd/A 29668-2021 artfynd.xlsx", "A 29668-2021")</f>
        <v/>
      </c>
      <c r="T402">
        <f>HYPERLINK("https://klasma.github.io/Logging_1435/kartor/A 29668-2021 karta.png", "A 29668-2021")</f>
        <v/>
      </c>
      <c r="V402">
        <f>HYPERLINK("https://klasma.github.io/Logging_1435/klagomål/A 29668-2021 FSC-klagomål.docx", "A 29668-2021")</f>
        <v/>
      </c>
      <c r="W402">
        <f>HYPERLINK("https://klasma.github.io/Logging_1435/klagomålsmail/A 29668-2021 FSC-klagomål mail.docx", "A 29668-2021")</f>
        <v/>
      </c>
      <c r="X402">
        <f>HYPERLINK("https://klasma.github.io/Logging_1435/tillsyn/A 29668-2021 tillsynsbegäran.docx", "A 29668-2021")</f>
        <v/>
      </c>
      <c r="Y402">
        <f>HYPERLINK("https://klasma.github.io/Logging_1435/tillsynsmail/A 29668-2021 tillsynsbegäran mail.docx", "A 29668-2021")</f>
        <v/>
      </c>
      <c r="Z402">
        <f>HYPERLINK("https://klasma.github.io/Logging_1435/fåglar/A 29668-2021 prioriterade fågelarter.docx", "A 29668-2021")</f>
        <v/>
      </c>
    </row>
    <row r="403" ht="15" customHeight="1">
      <c r="A403" t="inlineStr">
        <is>
          <t>A 47698-2021</t>
        </is>
      </c>
      <c r="B403" s="1" t="n">
        <v>44448</v>
      </c>
      <c r="C403" s="1" t="n">
        <v>46011</v>
      </c>
      <c r="D403" t="inlineStr">
        <is>
          <t>VÄSTRA GÖTALANDS LÄN</t>
        </is>
      </c>
      <c r="E403" t="inlineStr">
        <is>
          <t>KARLSBORG</t>
        </is>
      </c>
      <c r="G403" t="n">
        <v>9.699999999999999</v>
      </c>
      <c r="H403" t="n">
        <v>1</v>
      </c>
      <c r="I403" t="n">
        <v>0</v>
      </c>
      <c r="J403" t="n">
        <v>0</v>
      </c>
      <c r="K403" t="n">
        <v>0</v>
      </c>
      <c r="L403" t="n">
        <v>0</v>
      </c>
      <c r="M403" t="n">
        <v>0</v>
      </c>
      <c r="N403" t="n">
        <v>0</v>
      </c>
      <c r="O403" t="n">
        <v>0</v>
      </c>
      <c r="P403" t="n">
        <v>0</v>
      </c>
      <c r="Q403" t="n">
        <v>1</v>
      </c>
      <c r="R403" s="2" t="inlineStr">
        <is>
          <t>Tjäder</t>
        </is>
      </c>
      <c r="S403">
        <f>HYPERLINK("https://klasma.github.io/Logging_1446/artfynd/A 47698-2021 artfynd.xlsx", "A 47698-2021")</f>
        <v/>
      </c>
      <c r="T403">
        <f>HYPERLINK("https://klasma.github.io/Logging_1446/kartor/A 47698-2021 karta.png", "A 47698-2021")</f>
        <v/>
      </c>
      <c r="V403">
        <f>HYPERLINK("https://klasma.github.io/Logging_1446/klagomål/A 47698-2021 FSC-klagomål.docx", "A 47698-2021")</f>
        <v/>
      </c>
      <c r="W403">
        <f>HYPERLINK("https://klasma.github.io/Logging_1446/klagomålsmail/A 47698-2021 FSC-klagomål mail.docx", "A 47698-2021")</f>
        <v/>
      </c>
      <c r="X403">
        <f>HYPERLINK("https://klasma.github.io/Logging_1446/tillsyn/A 47698-2021 tillsynsbegäran.docx", "A 47698-2021")</f>
        <v/>
      </c>
      <c r="Y403">
        <f>HYPERLINK("https://klasma.github.io/Logging_1446/tillsynsmail/A 47698-2021 tillsynsbegäran mail.docx", "A 47698-2021")</f>
        <v/>
      </c>
      <c r="Z403">
        <f>HYPERLINK("https://klasma.github.io/Logging_1446/fåglar/A 47698-2021 prioriterade fågelarter.docx", "A 47698-2021")</f>
        <v/>
      </c>
    </row>
    <row r="404" ht="15" customHeight="1">
      <c r="A404" t="inlineStr">
        <is>
          <t>A 34613-2021</t>
        </is>
      </c>
      <c r="B404" s="1" t="n">
        <v>44382</v>
      </c>
      <c r="C404" s="1" t="n">
        <v>46011</v>
      </c>
      <c r="D404" t="inlineStr">
        <is>
          <t>VÄSTRA GÖTALANDS LÄN</t>
        </is>
      </c>
      <c r="E404" t="inlineStr">
        <is>
          <t>VÄNERSBORG</t>
        </is>
      </c>
      <c r="F404" t="inlineStr">
        <is>
          <t>Sveaskog</t>
        </is>
      </c>
      <c r="G404" t="n">
        <v>3.8</v>
      </c>
      <c r="H404" t="n">
        <v>1</v>
      </c>
      <c r="I404" t="n">
        <v>0</v>
      </c>
      <c r="J404" t="n">
        <v>0</v>
      </c>
      <c r="K404" t="n">
        <v>0</v>
      </c>
      <c r="L404" t="n">
        <v>0</v>
      </c>
      <c r="M404" t="n">
        <v>0</v>
      </c>
      <c r="N404" t="n">
        <v>0</v>
      </c>
      <c r="O404" t="n">
        <v>0</v>
      </c>
      <c r="P404" t="n">
        <v>0</v>
      </c>
      <c r="Q404" t="n">
        <v>1</v>
      </c>
      <c r="R404" s="2" t="inlineStr">
        <is>
          <t>Tjäder</t>
        </is>
      </c>
      <c r="S404">
        <f>HYPERLINK("https://klasma.github.io/Logging_1487/artfynd/A 34613-2021 artfynd.xlsx", "A 34613-2021")</f>
        <v/>
      </c>
      <c r="T404">
        <f>HYPERLINK("https://klasma.github.io/Logging_1487/kartor/A 34613-2021 karta.png", "A 34613-2021")</f>
        <v/>
      </c>
      <c r="V404">
        <f>HYPERLINK("https://klasma.github.io/Logging_1487/klagomål/A 34613-2021 FSC-klagomål.docx", "A 34613-2021")</f>
        <v/>
      </c>
      <c r="W404">
        <f>HYPERLINK("https://klasma.github.io/Logging_1487/klagomålsmail/A 34613-2021 FSC-klagomål mail.docx", "A 34613-2021")</f>
        <v/>
      </c>
      <c r="X404">
        <f>HYPERLINK("https://klasma.github.io/Logging_1487/tillsyn/A 34613-2021 tillsynsbegäran.docx", "A 34613-2021")</f>
        <v/>
      </c>
      <c r="Y404">
        <f>HYPERLINK("https://klasma.github.io/Logging_1487/tillsynsmail/A 34613-2021 tillsynsbegäran mail.docx", "A 34613-2021")</f>
        <v/>
      </c>
      <c r="Z404">
        <f>HYPERLINK("https://klasma.github.io/Logging_1487/fåglar/A 34613-2021 prioriterade fågelarter.docx", "A 34613-2021")</f>
        <v/>
      </c>
    </row>
    <row r="405" ht="15" customHeight="1">
      <c r="A405" t="inlineStr">
        <is>
          <t>A 6545-2022</t>
        </is>
      </c>
      <c r="B405" s="1" t="n">
        <v>44601</v>
      </c>
      <c r="C405" s="1" t="n">
        <v>46011</v>
      </c>
      <c r="D405" t="inlineStr">
        <is>
          <t>VÄSTRA GÖTALANDS LÄN</t>
        </is>
      </c>
      <c r="E405" t="inlineStr">
        <is>
          <t>MUNKEDAL</t>
        </is>
      </c>
      <c r="G405" t="n">
        <v>4.1</v>
      </c>
      <c r="H405" t="n">
        <v>1</v>
      </c>
      <c r="I405" t="n">
        <v>0</v>
      </c>
      <c r="J405" t="n">
        <v>0</v>
      </c>
      <c r="K405" t="n">
        <v>0</v>
      </c>
      <c r="L405" t="n">
        <v>0</v>
      </c>
      <c r="M405" t="n">
        <v>0</v>
      </c>
      <c r="N405" t="n">
        <v>0</v>
      </c>
      <c r="O405" t="n">
        <v>0</v>
      </c>
      <c r="P405" t="n">
        <v>0</v>
      </c>
      <c r="Q405" t="n">
        <v>1</v>
      </c>
      <c r="R405" s="2" t="inlineStr">
        <is>
          <t>Revlummer</t>
        </is>
      </c>
      <c r="S405">
        <f>HYPERLINK("https://klasma.github.io/Logging_1430/artfynd/A 6545-2022 artfynd.xlsx", "A 6545-2022")</f>
        <v/>
      </c>
      <c r="T405">
        <f>HYPERLINK("https://klasma.github.io/Logging_1430/kartor/A 6545-2022 karta.png", "A 6545-2022")</f>
        <v/>
      </c>
      <c r="V405">
        <f>HYPERLINK("https://klasma.github.io/Logging_1430/klagomål/A 6545-2022 FSC-klagomål.docx", "A 6545-2022")</f>
        <v/>
      </c>
      <c r="W405">
        <f>HYPERLINK("https://klasma.github.io/Logging_1430/klagomålsmail/A 6545-2022 FSC-klagomål mail.docx", "A 6545-2022")</f>
        <v/>
      </c>
      <c r="X405">
        <f>HYPERLINK("https://klasma.github.io/Logging_1430/tillsyn/A 6545-2022 tillsynsbegäran.docx", "A 6545-2022")</f>
        <v/>
      </c>
      <c r="Y405">
        <f>HYPERLINK("https://klasma.github.io/Logging_1430/tillsynsmail/A 6545-2022 tillsynsbegäran mail.docx", "A 6545-2022")</f>
        <v/>
      </c>
    </row>
    <row r="406" ht="15" customHeight="1">
      <c r="A406" t="inlineStr">
        <is>
          <t>A 17804-2021</t>
        </is>
      </c>
      <c r="B406" s="1" t="n">
        <v>44300</v>
      </c>
      <c r="C406" s="1" t="n">
        <v>46011</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40547-2021</t>
        </is>
      </c>
      <c r="B407" s="1" t="n">
        <v>44420</v>
      </c>
      <c r="C407" s="1" t="n">
        <v>46011</v>
      </c>
      <c r="D407" t="inlineStr">
        <is>
          <t>VÄSTRA GÖTALANDS LÄN</t>
        </is>
      </c>
      <c r="E407" t="inlineStr">
        <is>
          <t>TIDAHOLM</t>
        </is>
      </c>
      <c r="G407" t="n">
        <v>1.3</v>
      </c>
      <c r="H407" t="n">
        <v>1</v>
      </c>
      <c r="I407" t="n">
        <v>0</v>
      </c>
      <c r="J407" t="n">
        <v>1</v>
      </c>
      <c r="K407" t="n">
        <v>0</v>
      </c>
      <c r="L407" t="n">
        <v>0</v>
      </c>
      <c r="M407" t="n">
        <v>0</v>
      </c>
      <c r="N407" t="n">
        <v>0</v>
      </c>
      <c r="O407" t="n">
        <v>1</v>
      </c>
      <c r="P407" t="n">
        <v>0</v>
      </c>
      <c r="Q407" t="n">
        <v>1</v>
      </c>
      <c r="R407" s="2" t="inlineStr">
        <is>
          <t>Entita</t>
        </is>
      </c>
      <c r="S407">
        <f>HYPERLINK("https://klasma.github.io/Logging_1498/artfynd/A 40547-2021 artfynd.xlsx", "A 40547-2021")</f>
        <v/>
      </c>
      <c r="T407">
        <f>HYPERLINK("https://klasma.github.io/Logging_1498/kartor/A 40547-2021 karta.png", "A 40547-2021")</f>
        <v/>
      </c>
      <c r="V407">
        <f>HYPERLINK("https://klasma.github.io/Logging_1498/klagomål/A 40547-2021 FSC-klagomål.docx", "A 40547-2021")</f>
        <v/>
      </c>
      <c r="W407">
        <f>HYPERLINK("https://klasma.github.io/Logging_1498/klagomålsmail/A 40547-2021 FSC-klagomål mail.docx", "A 40547-2021")</f>
        <v/>
      </c>
      <c r="X407">
        <f>HYPERLINK("https://klasma.github.io/Logging_1498/tillsyn/A 40547-2021 tillsynsbegäran.docx", "A 40547-2021")</f>
        <v/>
      </c>
      <c r="Y407">
        <f>HYPERLINK("https://klasma.github.io/Logging_1498/tillsynsmail/A 40547-2021 tillsynsbegäran mail.docx", "A 40547-2021")</f>
        <v/>
      </c>
      <c r="Z407">
        <f>HYPERLINK("https://klasma.github.io/Logging_1498/fåglar/A 40547-2021 prioriterade fågelarter.docx", "A 40547-2021")</f>
        <v/>
      </c>
    </row>
    <row r="408" ht="15" customHeight="1">
      <c r="A408" t="inlineStr">
        <is>
          <t>A 55075-2021</t>
        </is>
      </c>
      <c r="B408" s="1" t="n">
        <v>44474</v>
      </c>
      <c r="C408" s="1" t="n">
        <v>46011</v>
      </c>
      <c r="D408" t="inlineStr">
        <is>
          <t>VÄSTRA GÖTALANDS LÄN</t>
        </is>
      </c>
      <c r="E408" t="inlineStr">
        <is>
          <t>FALKÖPING</t>
        </is>
      </c>
      <c r="G408" t="n">
        <v>4.2</v>
      </c>
      <c r="H408" t="n">
        <v>0</v>
      </c>
      <c r="I408" t="n">
        <v>0</v>
      </c>
      <c r="J408" t="n">
        <v>0</v>
      </c>
      <c r="K408" t="n">
        <v>1</v>
      </c>
      <c r="L408" t="n">
        <v>0</v>
      </c>
      <c r="M408" t="n">
        <v>0</v>
      </c>
      <c r="N408" t="n">
        <v>0</v>
      </c>
      <c r="O408" t="n">
        <v>1</v>
      </c>
      <c r="P408" t="n">
        <v>1</v>
      </c>
      <c r="Q408" t="n">
        <v>1</v>
      </c>
      <c r="R408" s="2" t="inlineStr">
        <is>
          <t>Taggfingersvamp</t>
        </is>
      </c>
      <c r="S408">
        <f>HYPERLINK("https://klasma.github.io/Logging_1499/artfynd/A 55075-2021 artfynd.xlsx", "A 55075-2021")</f>
        <v/>
      </c>
      <c r="T408">
        <f>HYPERLINK("https://klasma.github.io/Logging_1499/kartor/A 55075-2021 karta.png", "A 55075-2021")</f>
        <v/>
      </c>
      <c r="V408">
        <f>HYPERLINK("https://klasma.github.io/Logging_1499/klagomål/A 55075-2021 FSC-klagomål.docx", "A 55075-2021")</f>
        <v/>
      </c>
      <c r="W408">
        <f>HYPERLINK("https://klasma.github.io/Logging_1499/klagomålsmail/A 55075-2021 FSC-klagomål mail.docx", "A 55075-2021")</f>
        <v/>
      </c>
      <c r="X408">
        <f>HYPERLINK("https://klasma.github.io/Logging_1499/tillsyn/A 55075-2021 tillsynsbegäran.docx", "A 55075-2021")</f>
        <v/>
      </c>
      <c r="Y408">
        <f>HYPERLINK("https://klasma.github.io/Logging_1499/tillsynsmail/A 55075-2021 tillsynsbegäran mail.docx", "A 55075-2021")</f>
        <v/>
      </c>
    </row>
    <row r="409" ht="15" customHeight="1">
      <c r="A409" t="inlineStr">
        <is>
          <t>A 23982-2021</t>
        </is>
      </c>
      <c r="B409" s="1" t="n">
        <v>44335</v>
      </c>
      <c r="C409" s="1" t="n">
        <v>46011</v>
      </c>
      <c r="D409" t="inlineStr">
        <is>
          <t>VÄSTRA GÖTALANDS LÄN</t>
        </is>
      </c>
      <c r="E409" t="inlineStr">
        <is>
          <t>MARK</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HYPERLINK("https://klasma.github.io/Logging_1463/artfynd/A 23982-2021 artfynd.xlsx", "A 23982-2021")</f>
        <v/>
      </c>
      <c r="T409">
        <f>HYPERLINK("https://klasma.github.io/Logging_1463/kartor/A 23982-2021 karta.png", "A 23982-2021")</f>
        <v/>
      </c>
      <c r="V409">
        <f>HYPERLINK("https://klasma.github.io/Logging_1463/klagomål/A 23982-2021 FSC-klagomål.docx", "A 23982-2021")</f>
        <v/>
      </c>
      <c r="W409">
        <f>HYPERLINK("https://klasma.github.io/Logging_1463/klagomålsmail/A 23982-2021 FSC-klagomål mail.docx", "A 23982-2021")</f>
        <v/>
      </c>
      <c r="X409">
        <f>HYPERLINK("https://klasma.github.io/Logging_1463/tillsyn/A 23982-2021 tillsynsbegäran.docx", "A 23982-2021")</f>
        <v/>
      </c>
      <c r="Y409">
        <f>HYPERLINK("https://klasma.github.io/Logging_1463/tillsynsmail/A 23982-2021 tillsynsbegäran mail.docx", "A 23982-2021")</f>
        <v/>
      </c>
    </row>
    <row r="410" ht="15" customHeight="1">
      <c r="A410" t="inlineStr">
        <is>
          <t>A 16879-2022</t>
        </is>
      </c>
      <c r="B410" s="1" t="n">
        <v>44675.91282407408</v>
      </c>
      <c r="C410" s="1" t="n">
        <v>46011</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3678-2022</t>
        </is>
      </c>
      <c r="B411" s="1" t="n">
        <v>44586.54900462963</v>
      </c>
      <c r="C411" s="1" t="n">
        <v>46011</v>
      </c>
      <c r="D411" t="inlineStr">
        <is>
          <t>VÄSTRA GÖTALANDS LÄN</t>
        </is>
      </c>
      <c r="E411" t="inlineStr">
        <is>
          <t>MÖLNDAL</t>
        </is>
      </c>
      <c r="G411" t="n">
        <v>1.2</v>
      </c>
      <c r="H411" t="n">
        <v>1</v>
      </c>
      <c r="I411" t="n">
        <v>0</v>
      </c>
      <c r="J411" t="n">
        <v>1</v>
      </c>
      <c r="K411" t="n">
        <v>0</v>
      </c>
      <c r="L411" t="n">
        <v>0</v>
      </c>
      <c r="M411" t="n">
        <v>0</v>
      </c>
      <c r="N411" t="n">
        <v>0</v>
      </c>
      <c r="O411" t="n">
        <v>1</v>
      </c>
      <c r="P411" t="n">
        <v>0</v>
      </c>
      <c r="Q411" t="n">
        <v>1</v>
      </c>
      <c r="R411" s="2" t="inlineStr">
        <is>
          <t>Grönsångare</t>
        </is>
      </c>
      <c r="S411">
        <f>HYPERLINK("https://klasma.github.io/Logging_1481/artfynd/A 3678-2022 artfynd.xlsx", "A 3678-2022")</f>
        <v/>
      </c>
      <c r="T411">
        <f>HYPERLINK("https://klasma.github.io/Logging_1481/kartor/A 3678-2022 karta.png", "A 3678-2022")</f>
        <v/>
      </c>
      <c r="V411">
        <f>HYPERLINK("https://klasma.github.io/Logging_1481/klagomål/A 3678-2022 FSC-klagomål.docx", "A 3678-2022")</f>
        <v/>
      </c>
      <c r="W411">
        <f>HYPERLINK("https://klasma.github.io/Logging_1481/klagomålsmail/A 3678-2022 FSC-klagomål mail.docx", "A 3678-2022")</f>
        <v/>
      </c>
      <c r="X411">
        <f>HYPERLINK("https://klasma.github.io/Logging_1481/tillsyn/A 3678-2022 tillsynsbegäran.docx", "A 3678-2022")</f>
        <v/>
      </c>
      <c r="Y411">
        <f>HYPERLINK("https://klasma.github.io/Logging_1481/tillsynsmail/A 3678-2022 tillsynsbegäran mail.docx", "A 3678-2022")</f>
        <v/>
      </c>
      <c r="Z411">
        <f>HYPERLINK("https://klasma.github.io/Logging_1481/fåglar/A 3678-2022 prioriterade fågelarter.docx", "A 3678-2022")</f>
        <v/>
      </c>
    </row>
    <row r="412" ht="15" customHeight="1">
      <c r="A412" t="inlineStr">
        <is>
          <t>A 7772-2022</t>
        </is>
      </c>
      <c r="B412" s="1" t="n">
        <v>44608.45642361111</v>
      </c>
      <c r="C412" s="1" t="n">
        <v>46011</v>
      </c>
      <c r="D412" t="inlineStr">
        <is>
          <t>VÄSTRA GÖTALANDS LÄN</t>
        </is>
      </c>
      <c r="E412" t="inlineStr">
        <is>
          <t>TÖREBODA</t>
        </is>
      </c>
      <c r="G412" t="n">
        <v>2.6</v>
      </c>
      <c r="H412" t="n">
        <v>1</v>
      </c>
      <c r="I412" t="n">
        <v>0</v>
      </c>
      <c r="J412" t="n">
        <v>0</v>
      </c>
      <c r="K412" t="n">
        <v>0</v>
      </c>
      <c r="L412" t="n">
        <v>0</v>
      </c>
      <c r="M412" t="n">
        <v>0</v>
      </c>
      <c r="N412" t="n">
        <v>0</v>
      </c>
      <c r="O412" t="n">
        <v>0</v>
      </c>
      <c r="P412" t="n">
        <v>0</v>
      </c>
      <c r="Q412" t="n">
        <v>1</v>
      </c>
      <c r="R412" s="2" t="inlineStr">
        <is>
          <t>Revlummer</t>
        </is>
      </c>
      <c r="S412">
        <f>HYPERLINK("https://klasma.github.io/Logging_1473/artfynd/A 7772-2022 artfynd.xlsx", "A 7772-2022")</f>
        <v/>
      </c>
      <c r="T412">
        <f>HYPERLINK("https://klasma.github.io/Logging_1473/kartor/A 7772-2022 karta.png", "A 7772-2022")</f>
        <v/>
      </c>
      <c r="V412">
        <f>HYPERLINK("https://klasma.github.io/Logging_1473/klagomål/A 7772-2022 FSC-klagomål.docx", "A 7772-2022")</f>
        <v/>
      </c>
      <c r="W412">
        <f>HYPERLINK("https://klasma.github.io/Logging_1473/klagomålsmail/A 7772-2022 FSC-klagomål mail.docx", "A 7772-2022")</f>
        <v/>
      </c>
      <c r="X412">
        <f>HYPERLINK("https://klasma.github.io/Logging_1473/tillsyn/A 7772-2022 tillsynsbegäran.docx", "A 7772-2022")</f>
        <v/>
      </c>
      <c r="Y412">
        <f>HYPERLINK("https://klasma.github.io/Logging_1473/tillsynsmail/A 7772-2022 tillsynsbegäran mail.docx", "A 7772-2022")</f>
        <v/>
      </c>
    </row>
    <row r="413" ht="15" customHeight="1">
      <c r="A413" t="inlineStr">
        <is>
          <t>A 44429-2021</t>
        </is>
      </c>
      <c r="B413" s="1" t="n">
        <v>44435</v>
      </c>
      <c r="C413" s="1" t="n">
        <v>46011</v>
      </c>
      <c r="D413" t="inlineStr">
        <is>
          <t>VÄSTRA GÖTALANDS LÄN</t>
        </is>
      </c>
      <c r="E413" t="inlineStr">
        <is>
          <t>LYSEKIL</t>
        </is>
      </c>
      <c r="G413" t="n">
        <v>1.8</v>
      </c>
      <c r="H413" t="n">
        <v>1</v>
      </c>
      <c r="I413" t="n">
        <v>0</v>
      </c>
      <c r="J413" t="n">
        <v>0</v>
      </c>
      <c r="K413" t="n">
        <v>0</v>
      </c>
      <c r="L413" t="n">
        <v>0</v>
      </c>
      <c r="M413" t="n">
        <v>0</v>
      </c>
      <c r="N413" t="n">
        <v>0</v>
      </c>
      <c r="O413" t="n">
        <v>0</v>
      </c>
      <c r="P413" t="n">
        <v>0</v>
      </c>
      <c r="Q413" t="n">
        <v>1</v>
      </c>
      <c r="R413" s="2" t="inlineStr">
        <is>
          <t>Nattskärra</t>
        </is>
      </c>
      <c r="S413">
        <f>HYPERLINK("https://klasma.github.io/Logging_1484/artfynd/A 44429-2021 artfynd.xlsx", "A 44429-2021")</f>
        <v/>
      </c>
      <c r="T413">
        <f>HYPERLINK("https://klasma.github.io/Logging_1484/kartor/A 44429-2021 karta.png", "A 44429-2021")</f>
        <v/>
      </c>
      <c r="V413">
        <f>HYPERLINK("https://klasma.github.io/Logging_1484/klagomål/A 44429-2021 FSC-klagomål.docx", "A 44429-2021")</f>
        <v/>
      </c>
      <c r="W413">
        <f>HYPERLINK("https://klasma.github.io/Logging_1484/klagomålsmail/A 44429-2021 FSC-klagomål mail.docx", "A 44429-2021")</f>
        <v/>
      </c>
      <c r="X413">
        <f>HYPERLINK("https://klasma.github.io/Logging_1484/tillsyn/A 44429-2021 tillsynsbegäran.docx", "A 44429-2021")</f>
        <v/>
      </c>
      <c r="Y413">
        <f>HYPERLINK("https://klasma.github.io/Logging_1484/tillsynsmail/A 44429-2021 tillsynsbegäran mail.docx", "A 44429-2021")</f>
        <v/>
      </c>
      <c r="Z413">
        <f>HYPERLINK("https://klasma.github.io/Logging_1484/fåglar/A 44429-2021 prioriterade fågelarter.docx", "A 44429-2021")</f>
        <v/>
      </c>
    </row>
    <row r="414" ht="15" customHeight="1">
      <c r="A414" t="inlineStr">
        <is>
          <t>A 29375-2022</t>
        </is>
      </c>
      <c r="B414" s="1" t="n">
        <v>44753</v>
      </c>
      <c r="C414" s="1" t="n">
        <v>46011</v>
      </c>
      <c r="D414" t="inlineStr">
        <is>
          <t>VÄSTRA GÖTALANDS LÄN</t>
        </is>
      </c>
      <c r="E414" t="inlineStr">
        <is>
          <t>VÄNERSBORG</t>
        </is>
      </c>
      <c r="F414" t="inlineStr">
        <is>
          <t>Sveaskog</t>
        </is>
      </c>
      <c r="G414" t="n">
        <v>4.6</v>
      </c>
      <c r="H414" t="n">
        <v>1</v>
      </c>
      <c r="I414" t="n">
        <v>1</v>
      </c>
      <c r="J414" t="n">
        <v>0</v>
      </c>
      <c r="K414" t="n">
        <v>0</v>
      </c>
      <c r="L414" t="n">
        <v>0</v>
      </c>
      <c r="M414" t="n">
        <v>0</v>
      </c>
      <c r="N414" t="n">
        <v>0</v>
      </c>
      <c r="O414" t="n">
        <v>0</v>
      </c>
      <c r="P414" t="n">
        <v>0</v>
      </c>
      <c r="Q414" t="n">
        <v>1</v>
      </c>
      <c r="R414" s="2" t="inlineStr">
        <is>
          <t>Purpurknipprot</t>
        </is>
      </c>
      <c r="S414">
        <f>HYPERLINK("https://klasma.github.io/Logging_1487/artfynd/A 29375-2022 artfynd.xlsx", "A 29375-2022")</f>
        <v/>
      </c>
      <c r="T414">
        <f>HYPERLINK("https://klasma.github.io/Logging_1487/kartor/A 29375-2022 karta.png", "A 29375-2022")</f>
        <v/>
      </c>
      <c r="V414">
        <f>HYPERLINK("https://klasma.github.io/Logging_1487/klagomål/A 29375-2022 FSC-klagomål.docx", "A 29375-2022")</f>
        <v/>
      </c>
      <c r="W414">
        <f>HYPERLINK("https://klasma.github.io/Logging_1487/klagomålsmail/A 29375-2022 FSC-klagomål mail.docx", "A 29375-2022")</f>
        <v/>
      </c>
      <c r="X414">
        <f>HYPERLINK("https://klasma.github.io/Logging_1487/tillsyn/A 29375-2022 tillsynsbegäran.docx", "A 29375-2022")</f>
        <v/>
      </c>
      <c r="Y414">
        <f>HYPERLINK("https://klasma.github.io/Logging_1487/tillsynsmail/A 29375-2022 tillsynsbegäran mail.docx", "A 29375-2022")</f>
        <v/>
      </c>
    </row>
    <row r="415" ht="15" customHeight="1">
      <c r="A415" t="inlineStr">
        <is>
          <t>A 63729-2021</t>
        </is>
      </c>
      <c r="B415" s="1" t="n">
        <v>44508</v>
      </c>
      <c r="C415" s="1" t="n">
        <v>46011</v>
      </c>
      <c r="D415" t="inlineStr">
        <is>
          <t>VÄSTRA GÖTALANDS LÄN</t>
        </is>
      </c>
      <c r="E415" t="inlineStr">
        <is>
          <t>BENGTSFORS</t>
        </is>
      </c>
      <c r="G415" t="n">
        <v>5</v>
      </c>
      <c r="H415" t="n">
        <v>0</v>
      </c>
      <c r="I415" t="n">
        <v>1</v>
      </c>
      <c r="J415" t="n">
        <v>0</v>
      </c>
      <c r="K415" t="n">
        <v>0</v>
      </c>
      <c r="L415" t="n">
        <v>0</v>
      </c>
      <c r="M415" t="n">
        <v>0</v>
      </c>
      <c r="N415" t="n">
        <v>0</v>
      </c>
      <c r="O415" t="n">
        <v>0</v>
      </c>
      <c r="P415" t="n">
        <v>0</v>
      </c>
      <c r="Q415" t="n">
        <v>1</v>
      </c>
      <c r="R415" s="2" t="inlineStr">
        <is>
          <t>Grönpyrola</t>
        </is>
      </c>
      <c r="S415">
        <f>HYPERLINK("https://klasma.github.io/Logging_1460/artfynd/A 63729-2021 artfynd.xlsx", "A 63729-2021")</f>
        <v/>
      </c>
      <c r="T415">
        <f>HYPERLINK("https://klasma.github.io/Logging_1460/kartor/A 63729-2021 karta.png", "A 63729-2021")</f>
        <v/>
      </c>
      <c r="V415">
        <f>HYPERLINK("https://klasma.github.io/Logging_1460/klagomål/A 63729-2021 FSC-klagomål.docx", "A 63729-2021")</f>
        <v/>
      </c>
      <c r="W415">
        <f>HYPERLINK("https://klasma.github.io/Logging_1460/klagomålsmail/A 63729-2021 FSC-klagomål mail.docx", "A 63729-2021")</f>
        <v/>
      </c>
      <c r="X415">
        <f>HYPERLINK("https://klasma.github.io/Logging_1460/tillsyn/A 63729-2021 tillsynsbegäran.docx", "A 63729-2021")</f>
        <v/>
      </c>
      <c r="Y415">
        <f>HYPERLINK("https://klasma.github.io/Logging_1460/tillsynsmail/A 63729-2021 tillsynsbegäran mail.docx", "A 63729-2021")</f>
        <v/>
      </c>
    </row>
    <row r="416" ht="15" customHeight="1">
      <c r="A416" t="inlineStr">
        <is>
          <t>A 901-2021</t>
        </is>
      </c>
      <c r="B416" s="1" t="n">
        <v>44206</v>
      </c>
      <c r="C416" s="1" t="n">
        <v>46011</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64484-2021</t>
        </is>
      </c>
      <c r="B417" s="1" t="n">
        <v>44511</v>
      </c>
      <c r="C417" s="1" t="n">
        <v>46011</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17770-2021</t>
        </is>
      </c>
      <c r="B418" s="1" t="n">
        <v>44300</v>
      </c>
      <c r="C418" s="1" t="n">
        <v>46011</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5135-2021</t>
        </is>
      </c>
      <c r="B419" s="1" t="n">
        <v>44228</v>
      </c>
      <c r="C419" s="1" t="n">
        <v>46011</v>
      </c>
      <c r="D419" t="inlineStr">
        <is>
          <t>VÄSTRA GÖTALANDS LÄN</t>
        </is>
      </c>
      <c r="E419" t="inlineStr">
        <is>
          <t>VÅRGÅRDA</t>
        </is>
      </c>
      <c r="G419" t="n">
        <v>0.7</v>
      </c>
      <c r="H419" t="n">
        <v>1</v>
      </c>
      <c r="I419" t="n">
        <v>0</v>
      </c>
      <c r="J419" t="n">
        <v>0</v>
      </c>
      <c r="K419" t="n">
        <v>0</v>
      </c>
      <c r="L419" t="n">
        <v>0</v>
      </c>
      <c r="M419" t="n">
        <v>0</v>
      </c>
      <c r="N419" t="n">
        <v>0</v>
      </c>
      <c r="O419" t="n">
        <v>0</v>
      </c>
      <c r="P419" t="n">
        <v>0</v>
      </c>
      <c r="Q419" t="n">
        <v>1</v>
      </c>
      <c r="R419" s="2" t="inlineStr">
        <is>
          <t>Vanlig groda</t>
        </is>
      </c>
      <c r="S419">
        <f>HYPERLINK("https://klasma.github.io/Logging_1442/artfynd/A 5135-2021 artfynd.xlsx", "A 5135-2021")</f>
        <v/>
      </c>
      <c r="T419">
        <f>HYPERLINK("https://klasma.github.io/Logging_1442/kartor/A 5135-2021 karta.png", "A 5135-2021")</f>
        <v/>
      </c>
      <c r="V419">
        <f>HYPERLINK("https://klasma.github.io/Logging_1442/klagomål/A 5135-2021 FSC-klagomål.docx", "A 5135-2021")</f>
        <v/>
      </c>
      <c r="W419">
        <f>HYPERLINK("https://klasma.github.io/Logging_1442/klagomålsmail/A 5135-2021 FSC-klagomål mail.docx", "A 5135-2021")</f>
        <v/>
      </c>
      <c r="X419">
        <f>HYPERLINK("https://klasma.github.io/Logging_1442/tillsyn/A 5135-2021 tillsynsbegäran.docx", "A 5135-2021")</f>
        <v/>
      </c>
      <c r="Y419">
        <f>HYPERLINK("https://klasma.github.io/Logging_1442/tillsynsmail/A 5135-2021 tillsynsbegäran mail.docx", "A 5135-2021")</f>
        <v/>
      </c>
    </row>
    <row r="420" ht="15" customHeight="1">
      <c r="A420" t="inlineStr">
        <is>
          <t>A 26710-2021</t>
        </is>
      </c>
      <c r="B420" s="1" t="n">
        <v>44349</v>
      </c>
      <c r="C420" s="1" t="n">
        <v>46011</v>
      </c>
      <c r="D420" t="inlineStr">
        <is>
          <t>VÄSTRA GÖTALANDS LÄN</t>
        </is>
      </c>
      <c r="E420" t="inlineStr">
        <is>
          <t>FALKÖPING</t>
        </is>
      </c>
      <c r="G420" t="n">
        <v>3.1</v>
      </c>
      <c r="H420" t="n">
        <v>0</v>
      </c>
      <c r="I420" t="n">
        <v>1</v>
      </c>
      <c r="J420" t="n">
        <v>0</v>
      </c>
      <c r="K420" t="n">
        <v>0</v>
      </c>
      <c r="L420" t="n">
        <v>0</v>
      </c>
      <c r="M420" t="n">
        <v>0</v>
      </c>
      <c r="N420" t="n">
        <v>0</v>
      </c>
      <c r="O420" t="n">
        <v>0</v>
      </c>
      <c r="P420" t="n">
        <v>0</v>
      </c>
      <c r="Q420" t="n">
        <v>1</v>
      </c>
      <c r="R420" s="2" t="inlineStr">
        <is>
          <t>Tibast</t>
        </is>
      </c>
      <c r="S420">
        <f>HYPERLINK("https://klasma.github.io/Logging_1499/artfynd/A 26710-2021 artfynd.xlsx", "A 26710-2021")</f>
        <v/>
      </c>
      <c r="T420">
        <f>HYPERLINK("https://klasma.github.io/Logging_1499/kartor/A 26710-2021 karta.png", "A 26710-2021")</f>
        <v/>
      </c>
      <c r="V420">
        <f>HYPERLINK("https://klasma.github.io/Logging_1499/klagomål/A 26710-2021 FSC-klagomål.docx", "A 26710-2021")</f>
        <v/>
      </c>
      <c r="W420">
        <f>HYPERLINK("https://klasma.github.io/Logging_1499/klagomålsmail/A 26710-2021 FSC-klagomål mail.docx", "A 26710-2021")</f>
        <v/>
      </c>
      <c r="X420">
        <f>HYPERLINK("https://klasma.github.io/Logging_1499/tillsyn/A 26710-2021 tillsynsbegäran.docx", "A 26710-2021")</f>
        <v/>
      </c>
      <c r="Y420">
        <f>HYPERLINK("https://klasma.github.io/Logging_1499/tillsynsmail/A 26710-2021 tillsynsbegäran mail.docx", "A 26710-2021")</f>
        <v/>
      </c>
    </row>
    <row r="421" ht="15" customHeight="1">
      <c r="A421" t="inlineStr">
        <is>
          <t>A 72571-2021</t>
        </is>
      </c>
      <c r="B421" s="1" t="n">
        <v>44546</v>
      </c>
      <c r="C421" s="1" t="n">
        <v>46011</v>
      </c>
      <c r="D421" t="inlineStr">
        <is>
          <t>VÄSTRA GÖTALANDS LÄN</t>
        </is>
      </c>
      <c r="E421" t="inlineStr">
        <is>
          <t>HERRLJUNGA</t>
        </is>
      </c>
      <c r="F421" t="inlineStr">
        <is>
          <t>Kommuner</t>
        </is>
      </c>
      <c r="G421" t="n">
        <v>2</v>
      </c>
      <c r="H421" t="n">
        <v>1</v>
      </c>
      <c r="I421" t="n">
        <v>0</v>
      </c>
      <c r="J421" t="n">
        <v>0</v>
      </c>
      <c r="K421" t="n">
        <v>0</v>
      </c>
      <c r="L421" t="n">
        <v>0</v>
      </c>
      <c r="M421" t="n">
        <v>0</v>
      </c>
      <c r="N421" t="n">
        <v>0</v>
      </c>
      <c r="O421" t="n">
        <v>0</v>
      </c>
      <c r="P421" t="n">
        <v>0</v>
      </c>
      <c r="Q421" t="n">
        <v>1</v>
      </c>
      <c r="R421" s="2" t="inlineStr">
        <is>
          <t>Vanlig padda</t>
        </is>
      </c>
      <c r="S421">
        <f>HYPERLINK("https://klasma.github.io/Logging_1466/artfynd/A 72571-2021 artfynd.xlsx", "A 72571-2021")</f>
        <v/>
      </c>
      <c r="T421">
        <f>HYPERLINK("https://klasma.github.io/Logging_1466/kartor/A 72571-2021 karta.png", "A 72571-2021")</f>
        <v/>
      </c>
      <c r="V421">
        <f>HYPERLINK("https://klasma.github.io/Logging_1466/klagomål/A 72571-2021 FSC-klagomål.docx", "A 72571-2021")</f>
        <v/>
      </c>
      <c r="W421">
        <f>HYPERLINK("https://klasma.github.io/Logging_1466/klagomålsmail/A 72571-2021 FSC-klagomål mail.docx", "A 72571-2021")</f>
        <v/>
      </c>
      <c r="X421">
        <f>HYPERLINK("https://klasma.github.io/Logging_1466/tillsyn/A 72571-2021 tillsynsbegäran.docx", "A 72571-2021")</f>
        <v/>
      </c>
      <c r="Y421">
        <f>HYPERLINK("https://klasma.github.io/Logging_1466/tillsynsmail/A 72571-2021 tillsynsbegäran mail.docx", "A 72571-2021")</f>
        <v/>
      </c>
    </row>
    <row r="422" ht="15" customHeight="1">
      <c r="A422" t="inlineStr">
        <is>
          <t>A 36083-2021</t>
        </is>
      </c>
      <c r="B422" s="1" t="n">
        <v>44389</v>
      </c>
      <c r="C422" s="1" t="n">
        <v>46011</v>
      </c>
      <c r="D422" t="inlineStr">
        <is>
          <t>VÄSTRA GÖTALANDS LÄN</t>
        </is>
      </c>
      <c r="E422" t="inlineStr">
        <is>
          <t>MELLERUD</t>
        </is>
      </c>
      <c r="G422" t="n">
        <v>4.1</v>
      </c>
      <c r="H422" t="n">
        <v>0</v>
      </c>
      <c r="I422" t="n">
        <v>1</v>
      </c>
      <c r="J422" t="n">
        <v>0</v>
      </c>
      <c r="K422" t="n">
        <v>0</v>
      </c>
      <c r="L422" t="n">
        <v>0</v>
      </c>
      <c r="M422" t="n">
        <v>0</v>
      </c>
      <c r="N422" t="n">
        <v>0</v>
      </c>
      <c r="O422" t="n">
        <v>0</v>
      </c>
      <c r="P422" t="n">
        <v>0</v>
      </c>
      <c r="Q422" t="n">
        <v>1</v>
      </c>
      <c r="R422" s="2" t="inlineStr">
        <is>
          <t>Strutbräken</t>
        </is>
      </c>
      <c r="S422">
        <f>HYPERLINK("https://klasma.github.io/Logging_1461/artfynd/A 36083-2021 artfynd.xlsx", "A 36083-2021")</f>
        <v/>
      </c>
      <c r="T422">
        <f>HYPERLINK("https://klasma.github.io/Logging_1461/kartor/A 36083-2021 karta.png", "A 36083-2021")</f>
        <v/>
      </c>
      <c r="V422">
        <f>HYPERLINK("https://klasma.github.io/Logging_1461/klagomål/A 36083-2021 FSC-klagomål.docx", "A 36083-2021")</f>
        <v/>
      </c>
      <c r="W422">
        <f>HYPERLINK("https://klasma.github.io/Logging_1461/klagomålsmail/A 36083-2021 FSC-klagomål mail.docx", "A 36083-2021")</f>
        <v/>
      </c>
      <c r="X422">
        <f>HYPERLINK("https://klasma.github.io/Logging_1461/tillsyn/A 36083-2021 tillsynsbegäran.docx", "A 36083-2021")</f>
        <v/>
      </c>
      <c r="Y422">
        <f>HYPERLINK("https://klasma.github.io/Logging_1461/tillsynsmail/A 36083-2021 tillsynsbegäran mail.docx", "A 36083-2021")</f>
        <v/>
      </c>
    </row>
    <row r="423" ht="15" customHeight="1">
      <c r="A423" t="inlineStr">
        <is>
          <t>A 1013-2022</t>
        </is>
      </c>
      <c r="B423" s="1" t="n">
        <v>44571</v>
      </c>
      <c r="C423" s="1" t="n">
        <v>46011</v>
      </c>
      <c r="D423" t="inlineStr">
        <is>
          <t>VÄSTRA GÖTALANDS LÄN</t>
        </is>
      </c>
      <c r="E423" t="inlineStr">
        <is>
          <t>STRÖMSTAD</t>
        </is>
      </c>
      <c r="G423" t="n">
        <v>2.5</v>
      </c>
      <c r="H423" t="n">
        <v>0</v>
      </c>
      <c r="I423" t="n">
        <v>0</v>
      </c>
      <c r="J423" t="n">
        <v>1</v>
      </c>
      <c r="K423" t="n">
        <v>0</v>
      </c>
      <c r="L423" t="n">
        <v>0</v>
      </c>
      <c r="M423" t="n">
        <v>0</v>
      </c>
      <c r="N423" t="n">
        <v>0</v>
      </c>
      <c r="O423" t="n">
        <v>1</v>
      </c>
      <c r="P423" t="n">
        <v>0</v>
      </c>
      <c r="Q423" t="n">
        <v>1</v>
      </c>
      <c r="R423" s="2" t="inlineStr">
        <is>
          <t>Skogssvingel</t>
        </is>
      </c>
      <c r="S423">
        <f>HYPERLINK("https://klasma.github.io/Logging_1486/artfynd/A 1013-2022 artfynd.xlsx", "A 1013-2022")</f>
        <v/>
      </c>
      <c r="T423">
        <f>HYPERLINK("https://klasma.github.io/Logging_1486/kartor/A 1013-2022 karta.png", "A 1013-2022")</f>
        <v/>
      </c>
      <c r="V423">
        <f>HYPERLINK("https://klasma.github.io/Logging_1486/klagomål/A 1013-2022 FSC-klagomål.docx", "A 1013-2022")</f>
        <v/>
      </c>
      <c r="W423">
        <f>HYPERLINK("https://klasma.github.io/Logging_1486/klagomålsmail/A 1013-2022 FSC-klagomål mail.docx", "A 1013-2022")</f>
        <v/>
      </c>
      <c r="X423">
        <f>HYPERLINK("https://klasma.github.io/Logging_1486/tillsyn/A 1013-2022 tillsynsbegäran.docx", "A 1013-2022")</f>
        <v/>
      </c>
      <c r="Y423">
        <f>HYPERLINK("https://klasma.github.io/Logging_1486/tillsynsmail/A 1013-2022 tillsynsbegäran mail.docx", "A 1013-2022")</f>
        <v/>
      </c>
    </row>
    <row r="424" ht="15" customHeight="1">
      <c r="A424" t="inlineStr">
        <is>
          <t>A 50318-2021</t>
        </is>
      </c>
      <c r="B424" s="1" t="n">
        <v>44459</v>
      </c>
      <c r="C424" s="1" t="n">
        <v>46011</v>
      </c>
      <c r="D424" t="inlineStr">
        <is>
          <t>VÄSTRA GÖTALANDS LÄN</t>
        </is>
      </c>
      <c r="E424" t="inlineStr">
        <is>
          <t>SKARA</t>
        </is>
      </c>
      <c r="G424" t="n">
        <v>0.8</v>
      </c>
      <c r="H424" t="n">
        <v>1</v>
      </c>
      <c r="I424" t="n">
        <v>0</v>
      </c>
      <c r="J424" t="n">
        <v>0</v>
      </c>
      <c r="K424" t="n">
        <v>1</v>
      </c>
      <c r="L424" t="n">
        <v>0</v>
      </c>
      <c r="M424" t="n">
        <v>0</v>
      </c>
      <c r="N424" t="n">
        <v>0</v>
      </c>
      <c r="O424" t="n">
        <v>1</v>
      </c>
      <c r="P424" t="n">
        <v>1</v>
      </c>
      <c r="Q424" t="n">
        <v>1</v>
      </c>
      <c r="R424" s="2" t="inlineStr">
        <is>
          <t>Knärot</t>
        </is>
      </c>
      <c r="S424">
        <f>HYPERLINK("https://klasma.github.io/Logging_1495/artfynd/A 50318-2021 artfynd.xlsx", "A 50318-2021")</f>
        <v/>
      </c>
      <c r="T424">
        <f>HYPERLINK("https://klasma.github.io/Logging_1495/kartor/A 50318-2021 karta.png", "A 50318-2021")</f>
        <v/>
      </c>
      <c r="U424">
        <f>HYPERLINK("https://klasma.github.io/Logging_1495/knärot/A 50318-2021 karta knärot.png", "A 50318-2021")</f>
        <v/>
      </c>
      <c r="V424">
        <f>HYPERLINK("https://klasma.github.io/Logging_1495/klagomål/A 50318-2021 FSC-klagomål.docx", "A 50318-2021")</f>
        <v/>
      </c>
      <c r="W424">
        <f>HYPERLINK("https://klasma.github.io/Logging_1495/klagomålsmail/A 50318-2021 FSC-klagomål mail.docx", "A 50318-2021")</f>
        <v/>
      </c>
      <c r="X424">
        <f>HYPERLINK("https://klasma.github.io/Logging_1495/tillsyn/A 50318-2021 tillsynsbegäran.docx", "A 50318-2021")</f>
        <v/>
      </c>
      <c r="Y424">
        <f>HYPERLINK("https://klasma.github.io/Logging_1495/tillsynsmail/A 50318-2021 tillsynsbegäran mail.docx", "A 50318-2021")</f>
        <v/>
      </c>
    </row>
    <row r="425" ht="15" customHeight="1">
      <c r="A425" t="inlineStr">
        <is>
          <t>A 36840-2021</t>
        </is>
      </c>
      <c r="B425" s="1" t="n">
        <v>44393</v>
      </c>
      <c r="C425" s="1" t="n">
        <v>46011</v>
      </c>
      <c r="D425" t="inlineStr">
        <is>
          <t>VÄSTRA GÖTALANDS LÄN</t>
        </is>
      </c>
      <c r="E425" t="inlineStr">
        <is>
          <t>MARK</t>
        </is>
      </c>
      <c r="G425" t="n">
        <v>2.3</v>
      </c>
      <c r="H425" t="n">
        <v>0</v>
      </c>
      <c r="I425" t="n">
        <v>1</v>
      </c>
      <c r="J425" t="n">
        <v>0</v>
      </c>
      <c r="K425" t="n">
        <v>0</v>
      </c>
      <c r="L425" t="n">
        <v>0</v>
      </c>
      <c r="M425" t="n">
        <v>0</v>
      </c>
      <c r="N425" t="n">
        <v>0</v>
      </c>
      <c r="O425" t="n">
        <v>0</v>
      </c>
      <c r="P425" t="n">
        <v>0</v>
      </c>
      <c r="Q425" t="n">
        <v>1</v>
      </c>
      <c r="R425" s="2" t="inlineStr">
        <is>
          <t>Dropptaggsvamp</t>
        </is>
      </c>
      <c r="S425">
        <f>HYPERLINK("https://klasma.github.io/Logging_1463/artfynd/A 36840-2021 artfynd.xlsx", "A 36840-2021")</f>
        <v/>
      </c>
      <c r="T425">
        <f>HYPERLINK("https://klasma.github.io/Logging_1463/kartor/A 36840-2021 karta.png", "A 36840-2021")</f>
        <v/>
      </c>
      <c r="V425">
        <f>HYPERLINK("https://klasma.github.io/Logging_1463/klagomål/A 36840-2021 FSC-klagomål.docx", "A 36840-2021")</f>
        <v/>
      </c>
      <c r="W425">
        <f>HYPERLINK("https://klasma.github.io/Logging_1463/klagomålsmail/A 36840-2021 FSC-klagomål mail.docx", "A 36840-2021")</f>
        <v/>
      </c>
      <c r="X425">
        <f>HYPERLINK("https://klasma.github.io/Logging_1463/tillsyn/A 36840-2021 tillsynsbegäran.docx", "A 36840-2021")</f>
        <v/>
      </c>
      <c r="Y425">
        <f>HYPERLINK("https://klasma.github.io/Logging_1463/tillsynsmail/A 36840-2021 tillsynsbegäran mail.docx", "A 36840-2021")</f>
        <v/>
      </c>
    </row>
    <row r="426" ht="15" customHeight="1">
      <c r="A426" t="inlineStr">
        <is>
          <t>A 21050-2021</t>
        </is>
      </c>
      <c r="B426" s="1" t="n">
        <v>44319</v>
      </c>
      <c r="C426" s="1" t="n">
        <v>46011</v>
      </c>
      <c r="D426" t="inlineStr">
        <is>
          <t>VÄSTRA GÖTALANDS LÄN</t>
        </is>
      </c>
      <c r="E426" t="inlineStr">
        <is>
          <t>SKARA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HYPERLINK("https://klasma.github.io/Logging_1495/artfynd/A 21050-2021 artfynd.xlsx", "A 21050-2021")</f>
        <v/>
      </c>
      <c r="T426">
        <f>HYPERLINK("https://klasma.github.io/Logging_1495/kartor/A 21050-2021 karta.png", "A 21050-2021")</f>
        <v/>
      </c>
      <c r="U426">
        <f>HYPERLINK("https://klasma.github.io/Logging_1495/knärot/A 21050-2021 karta knärot.png", "A 21050-2021")</f>
        <v/>
      </c>
      <c r="V426">
        <f>HYPERLINK("https://klasma.github.io/Logging_1495/klagomål/A 21050-2021 FSC-klagomål.docx", "A 21050-2021")</f>
        <v/>
      </c>
      <c r="W426">
        <f>HYPERLINK("https://klasma.github.io/Logging_1495/klagomålsmail/A 21050-2021 FSC-klagomål mail.docx", "A 21050-2021")</f>
        <v/>
      </c>
      <c r="X426">
        <f>HYPERLINK("https://klasma.github.io/Logging_1495/tillsyn/A 21050-2021 tillsynsbegäran.docx", "A 21050-2021")</f>
        <v/>
      </c>
      <c r="Y426">
        <f>HYPERLINK("https://klasma.github.io/Logging_1495/tillsynsmail/A 21050-2021 tillsynsbegäran mail.docx", "A 21050-2021")</f>
        <v/>
      </c>
    </row>
    <row r="427" ht="15" customHeight="1">
      <c r="A427" t="inlineStr">
        <is>
          <t>A 9865-2021</t>
        </is>
      </c>
      <c r="B427" s="1" t="n">
        <v>44253</v>
      </c>
      <c r="C427" s="1" t="n">
        <v>46011</v>
      </c>
      <c r="D427" t="inlineStr">
        <is>
          <t>VÄSTRA GÖTALANDS LÄN</t>
        </is>
      </c>
      <c r="E427" t="inlineStr">
        <is>
          <t>LYSEKIL</t>
        </is>
      </c>
      <c r="G427" t="n">
        <v>2</v>
      </c>
      <c r="H427" t="n">
        <v>0</v>
      </c>
      <c r="I427" t="n">
        <v>0</v>
      </c>
      <c r="J427" t="n">
        <v>1</v>
      </c>
      <c r="K427" t="n">
        <v>0</v>
      </c>
      <c r="L427" t="n">
        <v>0</v>
      </c>
      <c r="M427" t="n">
        <v>0</v>
      </c>
      <c r="N427" t="n">
        <v>0</v>
      </c>
      <c r="O427" t="n">
        <v>1</v>
      </c>
      <c r="P427" t="n">
        <v>0</v>
      </c>
      <c r="Q427" t="n">
        <v>1</v>
      </c>
      <c r="R427" s="2" t="inlineStr">
        <is>
          <t>Svinrot</t>
        </is>
      </c>
      <c r="S427">
        <f>HYPERLINK("https://klasma.github.io/Logging_1484/artfynd/A 9865-2021 artfynd.xlsx", "A 9865-2021")</f>
        <v/>
      </c>
      <c r="T427">
        <f>HYPERLINK("https://klasma.github.io/Logging_1484/kartor/A 9865-2021 karta.png", "A 9865-2021")</f>
        <v/>
      </c>
      <c r="V427">
        <f>HYPERLINK("https://klasma.github.io/Logging_1484/klagomål/A 9865-2021 FSC-klagomål.docx", "A 9865-2021")</f>
        <v/>
      </c>
      <c r="W427">
        <f>HYPERLINK("https://klasma.github.io/Logging_1484/klagomålsmail/A 9865-2021 FSC-klagomål mail.docx", "A 9865-2021")</f>
        <v/>
      </c>
      <c r="X427">
        <f>HYPERLINK("https://klasma.github.io/Logging_1484/tillsyn/A 9865-2021 tillsynsbegäran.docx", "A 9865-2021")</f>
        <v/>
      </c>
      <c r="Y427">
        <f>HYPERLINK("https://klasma.github.io/Logging_1484/tillsynsmail/A 9865-2021 tillsynsbegäran mail.docx", "A 9865-2021")</f>
        <v/>
      </c>
    </row>
    <row r="428" ht="15" customHeight="1">
      <c r="A428" t="inlineStr">
        <is>
          <t>A 7814-2021</t>
        </is>
      </c>
      <c r="B428" s="1" t="n">
        <v>44242</v>
      </c>
      <c r="C428" s="1" t="n">
        <v>46011</v>
      </c>
      <c r="D428" t="inlineStr">
        <is>
          <t>VÄSTRA GÖTALANDS LÄN</t>
        </is>
      </c>
      <c r="E428" t="inlineStr">
        <is>
          <t>HÄRRYDA</t>
        </is>
      </c>
      <c r="G428" t="n">
        <v>1.1</v>
      </c>
      <c r="H428" t="n">
        <v>0</v>
      </c>
      <c r="I428" t="n">
        <v>1</v>
      </c>
      <c r="J428" t="n">
        <v>0</v>
      </c>
      <c r="K428" t="n">
        <v>0</v>
      </c>
      <c r="L428" t="n">
        <v>0</v>
      </c>
      <c r="M428" t="n">
        <v>0</v>
      </c>
      <c r="N428" t="n">
        <v>0</v>
      </c>
      <c r="O428" t="n">
        <v>0</v>
      </c>
      <c r="P428" t="n">
        <v>0</v>
      </c>
      <c r="Q428" t="n">
        <v>1</v>
      </c>
      <c r="R428" s="2" t="inlineStr">
        <is>
          <t>Kattfotslav</t>
        </is>
      </c>
      <c r="S428">
        <f>HYPERLINK("https://klasma.github.io/Logging_1401/artfynd/A 7814-2021 artfynd.xlsx", "A 7814-2021")</f>
        <v/>
      </c>
      <c r="T428">
        <f>HYPERLINK("https://klasma.github.io/Logging_1401/kartor/A 7814-2021 karta.png", "A 7814-2021")</f>
        <v/>
      </c>
      <c r="V428">
        <f>HYPERLINK("https://klasma.github.io/Logging_1401/klagomål/A 7814-2021 FSC-klagomål.docx", "A 7814-2021")</f>
        <v/>
      </c>
      <c r="W428">
        <f>HYPERLINK("https://klasma.github.io/Logging_1401/klagomålsmail/A 7814-2021 FSC-klagomål mail.docx", "A 7814-2021")</f>
        <v/>
      </c>
      <c r="X428">
        <f>HYPERLINK("https://klasma.github.io/Logging_1401/tillsyn/A 7814-2021 tillsynsbegäran.docx", "A 7814-2021")</f>
        <v/>
      </c>
      <c r="Y428">
        <f>HYPERLINK("https://klasma.github.io/Logging_1401/tillsynsmail/A 7814-2021 tillsynsbegäran mail.docx", "A 7814-2021")</f>
        <v/>
      </c>
    </row>
    <row r="429" ht="15" customHeight="1">
      <c r="A429" t="inlineStr">
        <is>
          <t>A 19162-2021</t>
        </is>
      </c>
      <c r="B429" s="1" t="n">
        <v>44308</v>
      </c>
      <c r="C429" s="1" t="n">
        <v>46011</v>
      </c>
      <c r="D429" t="inlineStr">
        <is>
          <t>VÄSTRA GÖTALANDS LÄN</t>
        </is>
      </c>
      <c r="E429" t="inlineStr">
        <is>
          <t>TRANEMO</t>
        </is>
      </c>
      <c r="F429" t="inlineStr">
        <is>
          <t>Sveaskog</t>
        </is>
      </c>
      <c r="G429" t="n">
        <v>5.2</v>
      </c>
      <c r="H429" t="n">
        <v>0</v>
      </c>
      <c r="I429" t="n">
        <v>0</v>
      </c>
      <c r="J429" t="n">
        <v>1</v>
      </c>
      <c r="K429" t="n">
        <v>0</v>
      </c>
      <c r="L429" t="n">
        <v>0</v>
      </c>
      <c r="M429" t="n">
        <v>0</v>
      </c>
      <c r="N429" t="n">
        <v>0</v>
      </c>
      <c r="O429" t="n">
        <v>1</v>
      </c>
      <c r="P429" t="n">
        <v>0</v>
      </c>
      <c r="Q429" t="n">
        <v>1</v>
      </c>
      <c r="R429" s="2" t="inlineStr">
        <is>
          <t>Borsttåg</t>
        </is>
      </c>
      <c r="S429">
        <f>HYPERLINK("https://klasma.github.io/Logging_1452/artfynd/A 19162-2021 artfynd.xlsx", "A 19162-2021")</f>
        <v/>
      </c>
      <c r="T429">
        <f>HYPERLINK("https://klasma.github.io/Logging_1452/kartor/A 19162-2021 karta.png", "A 19162-2021")</f>
        <v/>
      </c>
      <c r="V429">
        <f>HYPERLINK("https://klasma.github.io/Logging_1452/klagomål/A 19162-2021 FSC-klagomål.docx", "A 19162-2021")</f>
        <v/>
      </c>
      <c r="W429">
        <f>HYPERLINK("https://klasma.github.io/Logging_1452/klagomålsmail/A 19162-2021 FSC-klagomål mail.docx", "A 19162-2021")</f>
        <v/>
      </c>
      <c r="X429">
        <f>HYPERLINK("https://klasma.github.io/Logging_1452/tillsyn/A 19162-2021 tillsynsbegäran.docx", "A 19162-2021")</f>
        <v/>
      </c>
      <c r="Y429">
        <f>HYPERLINK("https://klasma.github.io/Logging_1452/tillsynsmail/A 19162-2021 tillsynsbegäran mail.docx", "A 19162-2021")</f>
        <v/>
      </c>
    </row>
    <row r="430" ht="15" customHeight="1">
      <c r="A430" t="inlineStr">
        <is>
          <t>A 29369-2022</t>
        </is>
      </c>
      <c r="B430" s="1" t="n">
        <v>44753</v>
      </c>
      <c r="C430" s="1" t="n">
        <v>46011</v>
      </c>
      <c r="D430" t="inlineStr">
        <is>
          <t>VÄSTRA GÖTALANDS LÄN</t>
        </is>
      </c>
      <c r="E430" t="inlineStr">
        <is>
          <t>VÄNERSBORG</t>
        </is>
      </c>
      <c r="F430" t="inlineStr">
        <is>
          <t>Sveaskog</t>
        </is>
      </c>
      <c r="G430" t="n">
        <v>9.9</v>
      </c>
      <c r="H430" t="n">
        <v>0</v>
      </c>
      <c r="I430" t="n">
        <v>1</v>
      </c>
      <c r="J430" t="n">
        <v>0</v>
      </c>
      <c r="K430" t="n">
        <v>0</v>
      </c>
      <c r="L430" t="n">
        <v>0</v>
      </c>
      <c r="M430" t="n">
        <v>0</v>
      </c>
      <c r="N430" t="n">
        <v>0</v>
      </c>
      <c r="O430" t="n">
        <v>0</v>
      </c>
      <c r="P430" t="n">
        <v>0</v>
      </c>
      <c r="Q430" t="n">
        <v>1</v>
      </c>
      <c r="R430" s="2" t="inlineStr">
        <is>
          <t>Blåmossa</t>
        </is>
      </c>
      <c r="S430">
        <f>HYPERLINK("https://klasma.github.io/Logging_1487/artfynd/A 29369-2022 artfynd.xlsx", "A 29369-2022")</f>
        <v/>
      </c>
      <c r="T430">
        <f>HYPERLINK("https://klasma.github.io/Logging_1487/kartor/A 29369-2022 karta.png", "A 29369-2022")</f>
        <v/>
      </c>
      <c r="V430">
        <f>HYPERLINK("https://klasma.github.io/Logging_1487/klagomål/A 29369-2022 FSC-klagomål.docx", "A 29369-2022")</f>
        <v/>
      </c>
      <c r="W430">
        <f>HYPERLINK("https://klasma.github.io/Logging_1487/klagomålsmail/A 29369-2022 FSC-klagomål mail.docx", "A 29369-2022")</f>
        <v/>
      </c>
      <c r="X430">
        <f>HYPERLINK("https://klasma.github.io/Logging_1487/tillsyn/A 29369-2022 tillsynsbegäran.docx", "A 29369-2022")</f>
        <v/>
      </c>
      <c r="Y430">
        <f>HYPERLINK("https://klasma.github.io/Logging_1487/tillsynsmail/A 29369-2022 tillsynsbegäran mail.docx", "A 29369-2022")</f>
        <v/>
      </c>
    </row>
    <row r="431" ht="15" customHeight="1">
      <c r="A431" t="inlineStr">
        <is>
          <t>A 48150-2021</t>
        </is>
      </c>
      <c r="B431" s="1" t="n">
        <v>44449</v>
      </c>
      <c r="C431" s="1" t="n">
        <v>46011</v>
      </c>
      <c r="D431" t="inlineStr">
        <is>
          <t>VÄSTRA GÖTALANDS LÄN</t>
        </is>
      </c>
      <c r="E431" t="inlineStr">
        <is>
          <t>ULRICEHAMN</t>
        </is>
      </c>
      <c r="F431" t="inlineStr">
        <is>
          <t>Sveaskog</t>
        </is>
      </c>
      <c r="G431" t="n">
        <v>0.4</v>
      </c>
      <c r="H431" t="n">
        <v>0</v>
      </c>
      <c r="I431" t="n">
        <v>0</v>
      </c>
      <c r="J431" t="n">
        <v>0</v>
      </c>
      <c r="K431" t="n">
        <v>0</v>
      </c>
      <c r="L431" t="n">
        <v>1</v>
      </c>
      <c r="M431" t="n">
        <v>0</v>
      </c>
      <c r="N431" t="n">
        <v>0</v>
      </c>
      <c r="O431" t="n">
        <v>1</v>
      </c>
      <c r="P431" t="n">
        <v>1</v>
      </c>
      <c r="Q431" t="n">
        <v>1</v>
      </c>
      <c r="R431" s="2" t="inlineStr">
        <is>
          <t>Ask</t>
        </is>
      </c>
      <c r="S431">
        <f>HYPERLINK("https://klasma.github.io/Logging_1491/artfynd/A 48150-2021 artfynd.xlsx", "A 48150-2021")</f>
        <v/>
      </c>
      <c r="T431">
        <f>HYPERLINK("https://klasma.github.io/Logging_1491/kartor/A 48150-2021 karta.png", "A 48150-2021")</f>
        <v/>
      </c>
      <c r="V431">
        <f>HYPERLINK("https://klasma.github.io/Logging_1491/klagomål/A 48150-2021 FSC-klagomål.docx", "A 48150-2021")</f>
        <v/>
      </c>
      <c r="W431">
        <f>HYPERLINK("https://klasma.github.io/Logging_1491/klagomålsmail/A 48150-2021 FSC-klagomål mail.docx", "A 48150-2021")</f>
        <v/>
      </c>
      <c r="X431">
        <f>HYPERLINK("https://klasma.github.io/Logging_1491/tillsyn/A 48150-2021 tillsynsbegäran.docx", "A 48150-2021")</f>
        <v/>
      </c>
      <c r="Y431">
        <f>HYPERLINK("https://klasma.github.io/Logging_1491/tillsynsmail/A 48150-2021 tillsynsbegäran mail.docx", "A 48150-2021")</f>
        <v/>
      </c>
    </row>
    <row r="432" ht="15" customHeight="1">
      <c r="A432" t="inlineStr">
        <is>
          <t>A 50293-2022</t>
        </is>
      </c>
      <c r="B432" s="1" t="n">
        <v>44865</v>
      </c>
      <c r="C432" s="1" t="n">
        <v>46011</v>
      </c>
      <c r="D432" t="inlineStr">
        <is>
          <t>VÄSTRA GÖTALANDS LÄN</t>
        </is>
      </c>
      <c r="E432" t="inlineStr">
        <is>
          <t>TIDAHOLM</t>
        </is>
      </c>
      <c r="G432" t="n">
        <v>3.5</v>
      </c>
      <c r="H432" t="n">
        <v>0</v>
      </c>
      <c r="I432" t="n">
        <v>1</v>
      </c>
      <c r="J432" t="n">
        <v>0</v>
      </c>
      <c r="K432" t="n">
        <v>0</v>
      </c>
      <c r="L432" t="n">
        <v>0</v>
      </c>
      <c r="M432" t="n">
        <v>0</v>
      </c>
      <c r="N432" t="n">
        <v>0</v>
      </c>
      <c r="O432" t="n">
        <v>0</v>
      </c>
      <c r="P432" t="n">
        <v>0</v>
      </c>
      <c r="Q432" t="n">
        <v>1</v>
      </c>
      <c r="R432" s="2" t="inlineStr">
        <is>
          <t>Kambräken</t>
        </is>
      </c>
      <c r="S432">
        <f>HYPERLINK("https://klasma.github.io/Logging_1498/artfynd/A 50293-2022 artfynd.xlsx", "A 50293-2022")</f>
        <v/>
      </c>
      <c r="T432">
        <f>HYPERLINK("https://klasma.github.io/Logging_1498/kartor/A 50293-2022 karta.png", "A 50293-2022")</f>
        <v/>
      </c>
      <c r="V432">
        <f>HYPERLINK("https://klasma.github.io/Logging_1498/klagomål/A 50293-2022 FSC-klagomål.docx", "A 50293-2022")</f>
        <v/>
      </c>
      <c r="W432">
        <f>HYPERLINK("https://klasma.github.io/Logging_1498/klagomålsmail/A 50293-2022 FSC-klagomål mail.docx", "A 50293-2022")</f>
        <v/>
      </c>
      <c r="X432">
        <f>HYPERLINK("https://klasma.github.io/Logging_1498/tillsyn/A 50293-2022 tillsynsbegäran.docx", "A 50293-2022")</f>
        <v/>
      </c>
      <c r="Y432">
        <f>HYPERLINK("https://klasma.github.io/Logging_1498/tillsynsmail/A 50293-2022 tillsynsbegäran mail.docx", "A 50293-2022")</f>
        <v/>
      </c>
    </row>
    <row r="433" ht="15" customHeight="1">
      <c r="A433" t="inlineStr">
        <is>
          <t>A 51770-2022</t>
        </is>
      </c>
      <c r="B433" s="1" t="n">
        <v>44872</v>
      </c>
      <c r="C433" s="1" t="n">
        <v>46011</v>
      </c>
      <c r="D433" t="inlineStr">
        <is>
          <t>VÄSTRA GÖTALANDS LÄN</t>
        </is>
      </c>
      <c r="E433" t="inlineStr">
        <is>
          <t>ULRICEHAMN</t>
        </is>
      </c>
      <c r="G433" t="n">
        <v>2.5</v>
      </c>
      <c r="H433" t="n">
        <v>0</v>
      </c>
      <c r="I433" t="n">
        <v>1</v>
      </c>
      <c r="J433" t="n">
        <v>0</v>
      </c>
      <c r="K433" t="n">
        <v>0</v>
      </c>
      <c r="L433" t="n">
        <v>0</v>
      </c>
      <c r="M433" t="n">
        <v>0</v>
      </c>
      <c r="N433" t="n">
        <v>0</v>
      </c>
      <c r="O433" t="n">
        <v>0</v>
      </c>
      <c r="P433" t="n">
        <v>0</v>
      </c>
      <c r="Q433" t="n">
        <v>1</v>
      </c>
      <c r="R433" s="2" t="inlineStr">
        <is>
          <t>Fällmossa</t>
        </is>
      </c>
      <c r="S433">
        <f>HYPERLINK("https://klasma.github.io/Logging_1491/artfynd/A 51770-2022 artfynd.xlsx", "A 51770-2022")</f>
        <v/>
      </c>
      <c r="T433">
        <f>HYPERLINK("https://klasma.github.io/Logging_1491/kartor/A 51770-2022 karta.png", "A 51770-2022")</f>
        <v/>
      </c>
      <c r="V433">
        <f>HYPERLINK("https://klasma.github.io/Logging_1491/klagomål/A 51770-2022 FSC-klagomål.docx", "A 51770-2022")</f>
        <v/>
      </c>
      <c r="W433">
        <f>HYPERLINK("https://klasma.github.io/Logging_1491/klagomålsmail/A 51770-2022 FSC-klagomål mail.docx", "A 51770-2022")</f>
        <v/>
      </c>
      <c r="X433">
        <f>HYPERLINK("https://klasma.github.io/Logging_1491/tillsyn/A 51770-2022 tillsynsbegäran.docx", "A 51770-2022")</f>
        <v/>
      </c>
      <c r="Y433">
        <f>HYPERLINK("https://klasma.github.io/Logging_1491/tillsynsmail/A 51770-2022 tillsynsbegäran mail.docx", "A 51770-2022")</f>
        <v/>
      </c>
    </row>
    <row r="434" ht="15" customHeight="1">
      <c r="A434" t="inlineStr">
        <is>
          <t>A 45735-2022</t>
        </is>
      </c>
      <c r="B434" s="1" t="n">
        <v>44846.31958333333</v>
      </c>
      <c r="C434" s="1" t="n">
        <v>46011</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25806-2022</t>
        </is>
      </c>
      <c r="B435" s="1" t="n">
        <v>44733</v>
      </c>
      <c r="C435" s="1" t="n">
        <v>46011</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34589-2021</t>
        </is>
      </c>
      <c r="B436" s="1" t="n">
        <v>44382</v>
      </c>
      <c r="C436" s="1" t="n">
        <v>46011</v>
      </c>
      <c r="D436" t="inlineStr">
        <is>
          <t>VÄSTRA GÖTALANDS LÄN</t>
        </is>
      </c>
      <c r="E436" t="inlineStr">
        <is>
          <t>VÄNERSBORG</t>
        </is>
      </c>
      <c r="F436" t="inlineStr">
        <is>
          <t>Sveaskog</t>
        </is>
      </c>
      <c r="G436" t="n">
        <v>13.7</v>
      </c>
      <c r="H436" t="n">
        <v>1</v>
      </c>
      <c r="I436" t="n">
        <v>0</v>
      </c>
      <c r="J436" t="n">
        <v>0</v>
      </c>
      <c r="K436" t="n">
        <v>0</v>
      </c>
      <c r="L436" t="n">
        <v>0</v>
      </c>
      <c r="M436" t="n">
        <v>0</v>
      </c>
      <c r="N436" t="n">
        <v>0</v>
      </c>
      <c r="O436" t="n">
        <v>0</v>
      </c>
      <c r="P436" t="n">
        <v>0</v>
      </c>
      <c r="Q436" t="n">
        <v>1</v>
      </c>
      <c r="R436" s="2" t="inlineStr">
        <is>
          <t>Blåsippa</t>
        </is>
      </c>
      <c r="S436">
        <f>HYPERLINK("https://klasma.github.io/Logging_1487/artfynd/A 34589-2021 artfynd.xlsx", "A 34589-2021")</f>
        <v/>
      </c>
      <c r="T436">
        <f>HYPERLINK("https://klasma.github.io/Logging_1487/kartor/A 34589-2021 karta.png", "A 34589-2021")</f>
        <v/>
      </c>
      <c r="V436">
        <f>HYPERLINK("https://klasma.github.io/Logging_1487/klagomål/A 34589-2021 FSC-klagomål.docx", "A 34589-2021")</f>
        <v/>
      </c>
      <c r="W436">
        <f>HYPERLINK("https://klasma.github.io/Logging_1487/klagomålsmail/A 34589-2021 FSC-klagomål mail.docx", "A 34589-2021")</f>
        <v/>
      </c>
      <c r="X436">
        <f>HYPERLINK("https://klasma.github.io/Logging_1487/tillsyn/A 34589-2021 tillsynsbegäran.docx", "A 34589-2021")</f>
        <v/>
      </c>
      <c r="Y436">
        <f>HYPERLINK("https://klasma.github.io/Logging_1487/tillsynsmail/A 34589-2021 tillsynsbegäran mail.docx", "A 34589-2021")</f>
        <v/>
      </c>
    </row>
    <row r="437" ht="15" customHeight="1">
      <c r="A437" t="inlineStr">
        <is>
          <t>A 18264-2022</t>
        </is>
      </c>
      <c r="B437" s="1" t="n">
        <v>44685</v>
      </c>
      <c r="C437" s="1" t="n">
        <v>46011</v>
      </c>
      <c r="D437" t="inlineStr">
        <is>
          <t>VÄSTRA GÖTALANDS LÄN</t>
        </is>
      </c>
      <c r="E437" t="inlineStr">
        <is>
          <t>TROLLHÄTTAN</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HYPERLINK("https://klasma.github.io/Logging_1488/artfynd/A 18264-2022 artfynd.xlsx", "A 18264-2022")</f>
        <v/>
      </c>
      <c r="T437">
        <f>HYPERLINK("https://klasma.github.io/Logging_1488/kartor/A 18264-2022 karta.png", "A 18264-2022")</f>
        <v/>
      </c>
      <c r="U437">
        <f>HYPERLINK("https://klasma.github.io/Logging_1488/knärot/A 18264-2022 karta knärot.png", "A 18264-2022")</f>
        <v/>
      </c>
      <c r="V437">
        <f>HYPERLINK("https://klasma.github.io/Logging_1488/klagomål/A 18264-2022 FSC-klagomål.docx", "A 18264-2022")</f>
        <v/>
      </c>
      <c r="W437">
        <f>HYPERLINK("https://klasma.github.io/Logging_1488/klagomålsmail/A 18264-2022 FSC-klagomål mail.docx", "A 18264-2022")</f>
        <v/>
      </c>
      <c r="X437">
        <f>HYPERLINK("https://klasma.github.io/Logging_1488/tillsyn/A 18264-2022 tillsynsbegäran.docx", "A 18264-2022")</f>
        <v/>
      </c>
      <c r="Y437">
        <f>HYPERLINK("https://klasma.github.io/Logging_1488/tillsynsmail/A 18264-2022 tillsynsbegäran mail.docx", "A 18264-2022")</f>
        <v/>
      </c>
    </row>
    <row r="438" ht="15" customHeight="1">
      <c r="A438" t="inlineStr">
        <is>
          <t>A 12624-2021</t>
        </is>
      </c>
      <c r="B438" s="1" t="n">
        <v>44270</v>
      </c>
      <c r="C438" s="1" t="n">
        <v>46011</v>
      </c>
      <c r="D438" t="inlineStr">
        <is>
          <t>VÄSTRA GÖTALANDS LÄN</t>
        </is>
      </c>
      <c r="E438" t="inlineStr">
        <is>
          <t>ÅMÅL</t>
        </is>
      </c>
      <c r="G438" t="n">
        <v>1.6</v>
      </c>
      <c r="H438" t="n">
        <v>0</v>
      </c>
      <c r="I438" t="n">
        <v>0</v>
      </c>
      <c r="J438" t="n">
        <v>1</v>
      </c>
      <c r="K438" t="n">
        <v>0</v>
      </c>
      <c r="L438" t="n">
        <v>0</v>
      </c>
      <c r="M438" t="n">
        <v>0</v>
      </c>
      <c r="N438" t="n">
        <v>0</v>
      </c>
      <c r="O438" t="n">
        <v>1</v>
      </c>
      <c r="P438" t="n">
        <v>0</v>
      </c>
      <c r="Q438" t="n">
        <v>1</v>
      </c>
      <c r="R438" s="2" t="inlineStr">
        <is>
          <t>Trollfibbla</t>
        </is>
      </c>
      <c r="S438">
        <f>HYPERLINK("https://klasma.github.io/Logging_1492/artfynd/A 12624-2021 artfynd.xlsx", "A 12624-2021")</f>
        <v/>
      </c>
      <c r="T438">
        <f>HYPERLINK("https://klasma.github.io/Logging_1492/kartor/A 12624-2021 karta.png", "A 12624-2021")</f>
        <v/>
      </c>
      <c r="V438">
        <f>HYPERLINK("https://klasma.github.io/Logging_1492/klagomål/A 12624-2021 FSC-klagomål.docx", "A 12624-2021")</f>
        <v/>
      </c>
      <c r="W438">
        <f>HYPERLINK("https://klasma.github.io/Logging_1492/klagomålsmail/A 12624-2021 FSC-klagomål mail.docx", "A 12624-2021")</f>
        <v/>
      </c>
      <c r="X438">
        <f>HYPERLINK("https://klasma.github.io/Logging_1492/tillsyn/A 12624-2021 tillsynsbegäran.docx", "A 12624-2021")</f>
        <v/>
      </c>
      <c r="Y438">
        <f>HYPERLINK("https://klasma.github.io/Logging_1492/tillsynsmail/A 12624-2021 tillsynsbegäran mail.docx", "A 12624-2021")</f>
        <v/>
      </c>
    </row>
    <row r="439" ht="15" customHeight="1">
      <c r="A439" t="inlineStr">
        <is>
          <t>A 4966-2022</t>
        </is>
      </c>
      <c r="B439" s="1" t="n">
        <v>44593</v>
      </c>
      <c r="C439" s="1" t="n">
        <v>46011</v>
      </c>
      <c r="D439" t="inlineStr">
        <is>
          <t>VÄSTRA GÖTALANDS LÄN</t>
        </is>
      </c>
      <c r="E439" t="inlineStr">
        <is>
          <t>HJO</t>
        </is>
      </c>
      <c r="G439" t="n">
        <v>0.6</v>
      </c>
      <c r="H439" t="n">
        <v>0</v>
      </c>
      <c r="I439" t="n">
        <v>0</v>
      </c>
      <c r="J439" t="n">
        <v>0</v>
      </c>
      <c r="K439" t="n">
        <v>0</v>
      </c>
      <c r="L439" t="n">
        <v>1</v>
      </c>
      <c r="M439" t="n">
        <v>0</v>
      </c>
      <c r="N439" t="n">
        <v>0</v>
      </c>
      <c r="O439" t="n">
        <v>1</v>
      </c>
      <c r="P439" t="n">
        <v>1</v>
      </c>
      <c r="Q439" t="n">
        <v>1</v>
      </c>
      <c r="R439" s="2" t="inlineStr">
        <is>
          <t>Ask</t>
        </is>
      </c>
      <c r="S439">
        <f>HYPERLINK("https://klasma.github.io/Logging_1497/artfynd/A 4966-2022 artfynd.xlsx", "A 4966-2022")</f>
        <v/>
      </c>
      <c r="T439">
        <f>HYPERLINK("https://klasma.github.io/Logging_1497/kartor/A 4966-2022 karta.png", "A 4966-2022")</f>
        <v/>
      </c>
      <c r="V439">
        <f>HYPERLINK("https://klasma.github.io/Logging_1497/klagomål/A 4966-2022 FSC-klagomål.docx", "A 4966-2022")</f>
        <v/>
      </c>
      <c r="W439">
        <f>HYPERLINK("https://klasma.github.io/Logging_1497/klagomålsmail/A 4966-2022 FSC-klagomål mail.docx", "A 4966-2022")</f>
        <v/>
      </c>
      <c r="X439">
        <f>HYPERLINK("https://klasma.github.io/Logging_1497/tillsyn/A 4966-2022 tillsynsbegäran.docx", "A 4966-2022")</f>
        <v/>
      </c>
      <c r="Y439">
        <f>HYPERLINK("https://klasma.github.io/Logging_1497/tillsynsmail/A 4966-2022 tillsynsbegäran mail.docx", "A 4966-2022")</f>
        <v/>
      </c>
    </row>
    <row r="440" ht="15" customHeight="1">
      <c r="A440" t="inlineStr">
        <is>
          <t>A 51869-2021</t>
        </is>
      </c>
      <c r="B440" s="1" t="n">
        <v>44462.73393518518</v>
      </c>
      <c r="C440" s="1" t="n">
        <v>46011</v>
      </c>
      <c r="D440" t="inlineStr">
        <is>
          <t>VÄSTRA GÖTALANDS LÄN</t>
        </is>
      </c>
      <c r="E440" t="inlineStr">
        <is>
          <t>UDDEVALLA</t>
        </is>
      </c>
      <c r="G440" t="n">
        <v>3.2</v>
      </c>
      <c r="H440" t="n">
        <v>0</v>
      </c>
      <c r="I440" t="n">
        <v>0</v>
      </c>
      <c r="J440" t="n">
        <v>1</v>
      </c>
      <c r="K440" t="n">
        <v>0</v>
      </c>
      <c r="L440" t="n">
        <v>0</v>
      </c>
      <c r="M440" t="n">
        <v>0</v>
      </c>
      <c r="N440" t="n">
        <v>0</v>
      </c>
      <c r="O440" t="n">
        <v>1</v>
      </c>
      <c r="P440" t="n">
        <v>0</v>
      </c>
      <c r="Q440" t="n">
        <v>1</v>
      </c>
      <c r="R440" s="2" t="inlineStr">
        <is>
          <t>Gullklöver</t>
        </is>
      </c>
      <c r="S440">
        <f>HYPERLINK("https://klasma.github.io/Logging_1485/artfynd/A 51869-2021 artfynd.xlsx", "A 51869-2021")</f>
        <v/>
      </c>
      <c r="T440">
        <f>HYPERLINK("https://klasma.github.io/Logging_1485/kartor/A 51869-2021 karta.png", "A 51869-2021")</f>
        <v/>
      </c>
      <c r="V440">
        <f>HYPERLINK("https://klasma.github.io/Logging_1485/klagomål/A 51869-2021 FSC-klagomål.docx", "A 51869-2021")</f>
        <v/>
      </c>
      <c r="W440">
        <f>HYPERLINK("https://klasma.github.io/Logging_1485/klagomålsmail/A 51869-2021 FSC-klagomål mail.docx", "A 51869-2021")</f>
        <v/>
      </c>
      <c r="X440">
        <f>HYPERLINK("https://klasma.github.io/Logging_1485/tillsyn/A 51869-2021 tillsynsbegäran.docx", "A 51869-2021")</f>
        <v/>
      </c>
      <c r="Y440">
        <f>HYPERLINK("https://klasma.github.io/Logging_1485/tillsynsmail/A 51869-2021 tillsynsbegäran mail.docx", "A 51869-2021")</f>
        <v/>
      </c>
    </row>
    <row r="441" ht="15" customHeight="1">
      <c r="A441" t="inlineStr">
        <is>
          <t>A 29376-2022</t>
        </is>
      </c>
      <c r="B441" s="1" t="n">
        <v>44753</v>
      </c>
      <c r="C441" s="1" t="n">
        <v>46011</v>
      </c>
      <c r="D441" t="inlineStr">
        <is>
          <t>VÄSTRA GÖTALANDS LÄN</t>
        </is>
      </c>
      <c r="E441" t="inlineStr">
        <is>
          <t>VÄNERSBORG</t>
        </is>
      </c>
      <c r="F441" t="inlineStr">
        <is>
          <t>Sveaskog</t>
        </is>
      </c>
      <c r="G441" t="n">
        <v>8.300000000000001</v>
      </c>
      <c r="H441" t="n">
        <v>1</v>
      </c>
      <c r="I441" t="n">
        <v>0</v>
      </c>
      <c r="J441" t="n">
        <v>0</v>
      </c>
      <c r="K441" t="n">
        <v>0</v>
      </c>
      <c r="L441" t="n">
        <v>0</v>
      </c>
      <c r="M441" t="n">
        <v>0</v>
      </c>
      <c r="N441" t="n">
        <v>0</v>
      </c>
      <c r="O441" t="n">
        <v>0</v>
      </c>
      <c r="P441" t="n">
        <v>0</v>
      </c>
      <c r="Q441" t="n">
        <v>1</v>
      </c>
      <c r="R441" s="2" t="inlineStr">
        <is>
          <t>Revlummer</t>
        </is>
      </c>
      <c r="S441">
        <f>HYPERLINK("https://klasma.github.io/Logging_1487/artfynd/A 29376-2022 artfynd.xlsx", "A 29376-2022")</f>
        <v/>
      </c>
      <c r="T441">
        <f>HYPERLINK("https://klasma.github.io/Logging_1487/kartor/A 29376-2022 karta.png", "A 29376-2022")</f>
        <v/>
      </c>
      <c r="V441">
        <f>HYPERLINK("https://klasma.github.io/Logging_1487/klagomål/A 29376-2022 FSC-klagomål.docx", "A 29376-2022")</f>
        <v/>
      </c>
      <c r="W441">
        <f>HYPERLINK("https://klasma.github.io/Logging_1487/klagomålsmail/A 29376-2022 FSC-klagomål mail.docx", "A 29376-2022")</f>
        <v/>
      </c>
      <c r="X441">
        <f>HYPERLINK("https://klasma.github.io/Logging_1487/tillsyn/A 29376-2022 tillsynsbegäran.docx", "A 29376-2022")</f>
        <v/>
      </c>
      <c r="Y441">
        <f>HYPERLINK("https://klasma.github.io/Logging_1487/tillsynsmail/A 29376-2022 tillsynsbegäran mail.docx", "A 29376-2022")</f>
        <v/>
      </c>
    </row>
    <row r="442" ht="15" customHeight="1">
      <c r="A442" t="inlineStr">
        <is>
          <t>A 34381-2022</t>
        </is>
      </c>
      <c r="B442" s="1" t="n">
        <v>44792</v>
      </c>
      <c r="C442" s="1" t="n">
        <v>46011</v>
      </c>
      <c r="D442" t="inlineStr">
        <is>
          <t>VÄSTRA GÖTALANDS LÄN</t>
        </is>
      </c>
      <c r="E442" t="inlineStr">
        <is>
          <t>VÄNERSBORG</t>
        </is>
      </c>
      <c r="G442" t="n">
        <v>6.6</v>
      </c>
      <c r="H442" t="n">
        <v>0</v>
      </c>
      <c r="I442" t="n">
        <v>1</v>
      </c>
      <c r="J442" t="n">
        <v>0</v>
      </c>
      <c r="K442" t="n">
        <v>0</v>
      </c>
      <c r="L442" t="n">
        <v>0</v>
      </c>
      <c r="M442" t="n">
        <v>0</v>
      </c>
      <c r="N442" t="n">
        <v>0</v>
      </c>
      <c r="O442" t="n">
        <v>0</v>
      </c>
      <c r="P442" t="n">
        <v>0</v>
      </c>
      <c r="Q442" t="n">
        <v>1</v>
      </c>
      <c r="R442" s="2" t="inlineStr">
        <is>
          <t>Skogsbräsma</t>
        </is>
      </c>
      <c r="S442">
        <f>HYPERLINK("https://klasma.github.io/Logging_1487/artfynd/A 34381-2022 artfynd.xlsx", "A 34381-2022")</f>
        <v/>
      </c>
      <c r="T442">
        <f>HYPERLINK("https://klasma.github.io/Logging_1487/kartor/A 34381-2022 karta.png", "A 34381-2022")</f>
        <v/>
      </c>
      <c r="V442">
        <f>HYPERLINK("https://klasma.github.io/Logging_1487/klagomål/A 34381-2022 FSC-klagomål.docx", "A 34381-2022")</f>
        <v/>
      </c>
      <c r="W442">
        <f>HYPERLINK("https://klasma.github.io/Logging_1487/klagomålsmail/A 34381-2022 FSC-klagomål mail.docx", "A 34381-2022")</f>
        <v/>
      </c>
      <c r="X442">
        <f>HYPERLINK("https://klasma.github.io/Logging_1487/tillsyn/A 34381-2022 tillsynsbegäran.docx", "A 34381-2022")</f>
        <v/>
      </c>
      <c r="Y442">
        <f>HYPERLINK("https://klasma.github.io/Logging_1487/tillsynsmail/A 34381-2022 tillsynsbegäran mail.docx", "A 34381-2022")</f>
        <v/>
      </c>
    </row>
    <row r="443" ht="15" customHeight="1">
      <c r="A443" t="inlineStr">
        <is>
          <t>A 51265-2021</t>
        </is>
      </c>
      <c r="B443" s="1" t="n">
        <v>44461</v>
      </c>
      <c r="C443" s="1" t="n">
        <v>46011</v>
      </c>
      <c r="D443" t="inlineStr">
        <is>
          <t>VÄSTRA GÖTALANDS LÄN</t>
        </is>
      </c>
      <c r="E443" t="inlineStr">
        <is>
          <t>MARIESTAD</t>
        </is>
      </c>
      <c r="G443" t="n">
        <v>30.9</v>
      </c>
      <c r="H443" t="n">
        <v>1</v>
      </c>
      <c r="I443" t="n">
        <v>0</v>
      </c>
      <c r="J443" t="n">
        <v>1</v>
      </c>
      <c r="K443" t="n">
        <v>0</v>
      </c>
      <c r="L443" t="n">
        <v>0</v>
      </c>
      <c r="M443" t="n">
        <v>0</v>
      </c>
      <c r="N443" t="n">
        <v>0</v>
      </c>
      <c r="O443" t="n">
        <v>1</v>
      </c>
      <c r="P443" t="n">
        <v>0</v>
      </c>
      <c r="Q443" t="n">
        <v>1</v>
      </c>
      <c r="R443" s="2" t="inlineStr">
        <is>
          <t>Spillkråka</t>
        </is>
      </c>
      <c r="S443">
        <f>HYPERLINK("https://klasma.github.io/Logging_1493/artfynd/A 51265-2021 artfynd.xlsx", "A 51265-2021")</f>
        <v/>
      </c>
      <c r="T443">
        <f>HYPERLINK("https://klasma.github.io/Logging_1493/kartor/A 51265-2021 karta.png", "A 51265-2021")</f>
        <v/>
      </c>
      <c r="V443">
        <f>HYPERLINK("https://klasma.github.io/Logging_1493/klagomål/A 51265-2021 FSC-klagomål.docx", "A 51265-2021")</f>
        <v/>
      </c>
      <c r="W443">
        <f>HYPERLINK("https://klasma.github.io/Logging_1493/klagomålsmail/A 51265-2021 FSC-klagomål mail.docx", "A 51265-2021")</f>
        <v/>
      </c>
      <c r="X443">
        <f>HYPERLINK("https://klasma.github.io/Logging_1493/tillsyn/A 51265-2021 tillsynsbegäran.docx", "A 51265-2021")</f>
        <v/>
      </c>
      <c r="Y443">
        <f>HYPERLINK("https://klasma.github.io/Logging_1493/tillsynsmail/A 51265-2021 tillsynsbegäran mail.docx", "A 51265-2021")</f>
        <v/>
      </c>
      <c r="Z443">
        <f>HYPERLINK("https://klasma.github.io/Logging_1493/fåglar/A 51265-2021 prioriterade fågelarter.docx", "A 51265-2021")</f>
        <v/>
      </c>
    </row>
    <row r="444" ht="15" customHeight="1">
      <c r="A444" t="inlineStr">
        <is>
          <t>A 8262-2022</t>
        </is>
      </c>
      <c r="B444" s="1" t="n">
        <v>44610.35016203704</v>
      </c>
      <c r="C444" s="1" t="n">
        <v>46011</v>
      </c>
      <c r="D444" t="inlineStr">
        <is>
          <t>VÄSTRA GÖTALANDS LÄN</t>
        </is>
      </c>
      <c r="E444" t="inlineStr">
        <is>
          <t>MARIESTAD</t>
        </is>
      </c>
      <c r="G444" t="n">
        <v>0.9</v>
      </c>
      <c r="H444" t="n">
        <v>1</v>
      </c>
      <c r="I444" t="n">
        <v>0</v>
      </c>
      <c r="J444" t="n">
        <v>1</v>
      </c>
      <c r="K444" t="n">
        <v>0</v>
      </c>
      <c r="L444" t="n">
        <v>0</v>
      </c>
      <c r="M444" t="n">
        <v>0</v>
      </c>
      <c r="N444" t="n">
        <v>0</v>
      </c>
      <c r="O444" t="n">
        <v>1</v>
      </c>
      <c r="P444" t="n">
        <v>0</v>
      </c>
      <c r="Q444" t="n">
        <v>1</v>
      </c>
      <c r="R444" s="2" t="inlineStr">
        <is>
          <t>Gulsparv</t>
        </is>
      </c>
      <c r="S444">
        <f>HYPERLINK("https://klasma.github.io/Logging_1493/artfynd/A 8262-2022 artfynd.xlsx", "A 8262-2022")</f>
        <v/>
      </c>
      <c r="T444">
        <f>HYPERLINK("https://klasma.github.io/Logging_1493/kartor/A 8262-2022 karta.png", "A 8262-2022")</f>
        <v/>
      </c>
      <c r="V444">
        <f>HYPERLINK("https://klasma.github.io/Logging_1493/klagomål/A 8262-2022 FSC-klagomål.docx", "A 8262-2022")</f>
        <v/>
      </c>
      <c r="W444">
        <f>HYPERLINK("https://klasma.github.io/Logging_1493/klagomålsmail/A 8262-2022 FSC-klagomål mail.docx", "A 8262-2022")</f>
        <v/>
      </c>
      <c r="X444">
        <f>HYPERLINK("https://klasma.github.io/Logging_1493/tillsyn/A 8262-2022 tillsynsbegäran.docx", "A 8262-2022")</f>
        <v/>
      </c>
      <c r="Y444">
        <f>HYPERLINK("https://klasma.github.io/Logging_1493/tillsynsmail/A 8262-2022 tillsynsbegäran mail.docx", "A 8262-2022")</f>
        <v/>
      </c>
      <c r="Z444">
        <f>HYPERLINK("https://klasma.github.io/Logging_1493/fåglar/A 8262-2022 prioriterade fågelarter.docx", "A 8262-2022")</f>
        <v/>
      </c>
    </row>
    <row r="445" ht="15" customHeight="1">
      <c r="A445" t="inlineStr">
        <is>
          <t>A 36973-2022</t>
        </is>
      </c>
      <c r="B445" s="1" t="n">
        <v>44805</v>
      </c>
      <c r="C445" s="1" t="n">
        <v>46011</v>
      </c>
      <c r="D445" t="inlineStr">
        <is>
          <t>VÄSTRA GÖTALANDS LÄN</t>
        </is>
      </c>
      <c r="E445" t="inlineStr">
        <is>
          <t>FALKÖPING</t>
        </is>
      </c>
      <c r="G445" t="n">
        <v>5</v>
      </c>
      <c r="H445" t="n">
        <v>0</v>
      </c>
      <c r="I445" t="n">
        <v>1</v>
      </c>
      <c r="J445" t="n">
        <v>0</v>
      </c>
      <c r="K445" t="n">
        <v>0</v>
      </c>
      <c r="L445" t="n">
        <v>0</v>
      </c>
      <c r="M445" t="n">
        <v>0</v>
      </c>
      <c r="N445" t="n">
        <v>0</v>
      </c>
      <c r="O445" t="n">
        <v>0</v>
      </c>
      <c r="P445" t="n">
        <v>0</v>
      </c>
      <c r="Q445" t="n">
        <v>1</v>
      </c>
      <c r="R445" s="2" t="inlineStr">
        <is>
          <t>Svart trolldruva</t>
        </is>
      </c>
      <c r="S445">
        <f>HYPERLINK("https://klasma.github.io/Logging_1499/artfynd/A 36973-2022 artfynd.xlsx", "A 36973-2022")</f>
        <v/>
      </c>
      <c r="T445">
        <f>HYPERLINK("https://klasma.github.io/Logging_1499/kartor/A 36973-2022 karta.png", "A 36973-2022")</f>
        <v/>
      </c>
      <c r="V445">
        <f>HYPERLINK("https://klasma.github.io/Logging_1499/klagomål/A 36973-2022 FSC-klagomål.docx", "A 36973-2022")</f>
        <v/>
      </c>
      <c r="W445">
        <f>HYPERLINK("https://klasma.github.io/Logging_1499/klagomålsmail/A 36973-2022 FSC-klagomål mail.docx", "A 36973-2022")</f>
        <v/>
      </c>
      <c r="X445">
        <f>HYPERLINK("https://klasma.github.io/Logging_1499/tillsyn/A 36973-2022 tillsynsbegäran.docx", "A 36973-2022")</f>
        <v/>
      </c>
      <c r="Y445">
        <f>HYPERLINK("https://klasma.github.io/Logging_1499/tillsynsmail/A 36973-2022 tillsynsbegäran mail.docx", "A 36973-2022")</f>
        <v/>
      </c>
    </row>
    <row r="446" ht="15" customHeight="1">
      <c r="A446" t="inlineStr">
        <is>
          <t>A 53555-2022</t>
        </is>
      </c>
      <c r="B446" s="1" t="n">
        <v>44879</v>
      </c>
      <c r="C446" s="1" t="n">
        <v>46011</v>
      </c>
      <c r="D446" t="inlineStr">
        <is>
          <t>VÄSTRA GÖTALANDS LÄN</t>
        </is>
      </c>
      <c r="E446" t="inlineStr">
        <is>
          <t>ULRICEHAMN</t>
        </is>
      </c>
      <c r="G446" t="n">
        <v>2.6</v>
      </c>
      <c r="H446" t="n">
        <v>0</v>
      </c>
      <c r="I446" t="n">
        <v>0</v>
      </c>
      <c r="J446" t="n">
        <v>0</v>
      </c>
      <c r="K446" t="n">
        <v>0</v>
      </c>
      <c r="L446" t="n">
        <v>1</v>
      </c>
      <c r="M446" t="n">
        <v>0</v>
      </c>
      <c r="N446" t="n">
        <v>0</v>
      </c>
      <c r="O446" t="n">
        <v>1</v>
      </c>
      <c r="P446" t="n">
        <v>1</v>
      </c>
      <c r="Q446" t="n">
        <v>1</v>
      </c>
      <c r="R446" s="2" t="inlineStr">
        <is>
          <t>Ask</t>
        </is>
      </c>
      <c r="S446">
        <f>HYPERLINK("https://klasma.github.io/Logging_1491/artfynd/A 53555-2022 artfynd.xlsx", "A 53555-2022")</f>
        <v/>
      </c>
      <c r="T446">
        <f>HYPERLINK("https://klasma.github.io/Logging_1491/kartor/A 53555-2022 karta.png", "A 53555-2022")</f>
        <v/>
      </c>
      <c r="V446">
        <f>HYPERLINK("https://klasma.github.io/Logging_1491/klagomål/A 53555-2022 FSC-klagomål.docx", "A 53555-2022")</f>
        <v/>
      </c>
      <c r="W446">
        <f>HYPERLINK("https://klasma.github.io/Logging_1491/klagomålsmail/A 53555-2022 FSC-klagomål mail.docx", "A 53555-2022")</f>
        <v/>
      </c>
      <c r="X446">
        <f>HYPERLINK("https://klasma.github.io/Logging_1491/tillsyn/A 53555-2022 tillsynsbegäran.docx", "A 53555-2022")</f>
        <v/>
      </c>
      <c r="Y446">
        <f>HYPERLINK("https://klasma.github.io/Logging_1491/tillsynsmail/A 53555-2022 tillsynsbegäran mail.docx", "A 53555-2022")</f>
        <v/>
      </c>
    </row>
    <row r="447" ht="15" customHeight="1">
      <c r="A447" t="inlineStr">
        <is>
          <t>A 15136-2022</t>
        </is>
      </c>
      <c r="B447" s="1" t="n">
        <v>44658</v>
      </c>
      <c r="C447" s="1" t="n">
        <v>46011</v>
      </c>
      <c r="D447" t="inlineStr">
        <is>
          <t>VÄSTRA GÖTALANDS LÄN</t>
        </is>
      </c>
      <c r="E447" t="inlineStr">
        <is>
          <t>LERUM</t>
        </is>
      </c>
      <c r="G447" t="n">
        <v>0.4</v>
      </c>
      <c r="H447" t="n">
        <v>1</v>
      </c>
      <c r="I447" t="n">
        <v>0</v>
      </c>
      <c r="J447" t="n">
        <v>1</v>
      </c>
      <c r="K447" t="n">
        <v>0</v>
      </c>
      <c r="L447" t="n">
        <v>0</v>
      </c>
      <c r="M447" t="n">
        <v>0</v>
      </c>
      <c r="N447" t="n">
        <v>0</v>
      </c>
      <c r="O447" t="n">
        <v>1</v>
      </c>
      <c r="P447" t="n">
        <v>0</v>
      </c>
      <c r="Q447" t="n">
        <v>1</v>
      </c>
      <c r="R447" s="2" t="inlineStr">
        <is>
          <t>Mindre hackspett</t>
        </is>
      </c>
      <c r="S447">
        <f>HYPERLINK("https://klasma.github.io/Logging_1441/artfynd/A 15136-2022 artfynd.xlsx", "A 15136-2022")</f>
        <v/>
      </c>
      <c r="T447">
        <f>HYPERLINK("https://klasma.github.io/Logging_1441/kartor/A 15136-2022 karta.png", "A 15136-2022")</f>
        <v/>
      </c>
      <c r="V447">
        <f>HYPERLINK("https://klasma.github.io/Logging_1441/klagomål/A 15136-2022 FSC-klagomål.docx", "A 15136-2022")</f>
        <v/>
      </c>
      <c r="W447">
        <f>HYPERLINK("https://klasma.github.io/Logging_1441/klagomålsmail/A 15136-2022 FSC-klagomål mail.docx", "A 15136-2022")</f>
        <v/>
      </c>
      <c r="X447">
        <f>HYPERLINK("https://klasma.github.io/Logging_1441/tillsyn/A 15136-2022 tillsynsbegäran.docx", "A 15136-2022")</f>
        <v/>
      </c>
      <c r="Y447">
        <f>HYPERLINK("https://klasma.github.io/Logging_1441/tillsynsmail/A 15136-2022 tillsynsbegäran mail.docx", "A 15136-2022")</f>
        <v/>
      </c>
      <c r="Z447">
        <f>HYPERLINK("https://klasma.github.io/Logging_1441/fåglar/A 15136-2022 prioriterade fågelarter.docx", "A 15136-2022")</f>
        <v/>
      </c>
    </row>
    <row r="448" ht="15" customHeight="1">
      <c r="A448" t="inlineStr">
        <is>
          <t>A 30273-2022</t>
        </is>
      </c>
      <c r="B448" s="1" t="n">
        <v>44759</v>
      </c>
      <c r="C448" s="1" t="n">
        <v>46011</v>
      </c>
      <c r="D448" t="inlineStr">
        <is>
          <t>VÄSTRA GÖTALANDS LÄN</t>
        </is>
      </c>
      <c r="E448" t="inlineStr">
        <is>
          <t>LILLA EDET</t>
        </is>
      </c>
      <c r="G448" t="n">
        <v>12.5</v>
      </c>
      <c r="H448" t="n">
        <v>1</v>
      </c>
      <c r="I448" t="n">
        <v>0</v>
      </c>
      <c r="J448" t="n">
        <v>1</v>
      </c>
      <c r="K448" t="n">
        <v>0</v>
      </c>
      <c r="L448" t="n">
        <v>0</v>
      </c>
      <c r="M448" t="n">
        <v>0</v>
      </c>
      <c r="N448" t="n">
        <v>0</v>
      </c>
      <c r="O448" t="n">
        <v>1</v>
      </c>
      <c r="P448" t="n">
        <v>0</v>
      </c>
      <c r="Q448" t="n">
        <v>1</v>
      </c>
      <c r="R448" s="2" t="inlineStr">
        <is>
          <t>Ärtsångare</t>
        </is>
      </c>
      <c r="S448">
        <f>HYPERLINK("https://klasma.github.io/Logging_1462/artfynd/A 30273-2022 artfynd.xlsx", "A 30273-2022")</f>
        <v/>
      </c>
      <c r="T448">
        <f>HYPERLINK("https://klasma.github.io/Logging_1462/kartor/A 30273-2022 karta.png", "A 30273-2022")</f>
        <v/>
      </c>
      <c r="V448">
        <f>HYPERLINK("https://klasma.github.io/Logging_1462/klagomål/A 30273-2022 FSC-klagomål.docx", "A 30273-2022")</f>
        <v/>
      </c>
      <c r="W448">
        <f>HYPERLINK("https://klasma.github.io/Logging_1462/klagomålsmail/A 30273-2022 FSC-klagomål mail.docx", "A 30273-2022")</f>
        <v/>
      </c>
      <c r="X448">
        <f>HYPERLINK("https://klasma.github.io/Logging_1462/tillsyn/A 30273-2022 tillsynsbegäran.docx", "A 30273-2022")</f>
        <v/>
      </c>
      <c r="Y448">
        <f>HYPERLINK("https://klasma.github.io/Logging_1462/tillsynsmail/A 30273-2022 tillsynsbegäran mail.docx", "A 30273-2022")</f>
        <v/>
      </c>
      <c r="Z448">
        <f>HYPERLINK("https://klasma.github.io/Logging_1462/fåglar/A 30273-2022 prioriterade fågelarter.docx", "A 30273-2022")</f>
        <v/>
      </c>
    </row>
    <row r="449" ht="15" customHeight="1">
      <c r="A449" t="inlineStr">
        <is>
          <t>A 5086-2024</t>
        </is>
      </c>
      <c r="B449" s="1" t="n">
        <v>45330</v>
      </c>
      <c r="C449" s="1" t="n">
        <v>46011</v>
      </c>
      <c r="D449" t="inlineStr">
        <is>
          <t>VÄSTRA GÖTALANDS LÄN</t>
        </is>
      </c>
      <c r="E449" t="inlineStr">
        <is>
          <t>GÖTENE</t>
        </is>
      </c>
      <c r="G449" t="n">
        <v>4.5</v>
      </c>
      <c r="H449" t="n">
        <v>0</v>
      </c>
      <c r="I449" t="n">
        <v>1</v>
      </c>
      <c r="J449" t="n">
        <v>0</v>
      </c>
      <c r="K449" t="n">
        <v>0</v>
      </c>
      <c r="L449" t="n">
        <v>0</v>
      </c>
      <c r="M449" t="n">
        <v>0</v>
      </c>
      <c r="N449" t="n">
        <v>0</v>
      </c>
      <c r="O449" t="n">
        <v>0</v>
      </c>
      <c r="P449" t="n">
        <v>0</v>
      </c>
      <c r="Q449" t="n">
        <v>1</v>
      </c>
      <c r="R449" s="2" t="inlineStr">
        <is>
          <t>Strävlosta</t>
        </is>
      </c>
      <c r="S449">
        <f>HYPERLINK("https://klasma.github.io/Logging_1471/artfynd/A 5086-2024 artfynd.xlsx", "A 5086-2024")</f>
        <v/>
      </c>
      <c r="T449">
        <f>HYPERLINK("https://klasma.github.io/Logging_1471/kartor/A 5086-2024 karta.png", "A 5086-2024")</f>
        <v/>
      </c>
      <c r="V449">
        <f>HYPERLINK("https://klasma.github.io/Logging_1471/klagomål/A 5086-2024 FSC-klagomål.docx", "A 5086-2024")</f>
        <v/>
      </c>
      <c r="W449">
        <f>HYPERLINK("https://klasma.github.io/Logging_1471/klagomålsmail/A 5086-2024 FSC-klagomål mail.docx", "A 5086-2024")</f>
        <v/>
      </c>
      <c r="X449">
        <f>HYPERLINK("https://klasma.github.io/Logging_1471/tillsyn/A 5086-2024 tillsynsbegäran.docx", "A 5086-2024")</f>
        <v/>
      </c>
      <c r="Y449">
        <f>HYPERLINK("https://klasma.github.io/Logging_1471/tillsynsmail/A 5086-2024 tillsynsbegäran mail.docx", "A 5086-2024")</f>
        <v/>
      </c>
    </row>
    <row r="450" ht="15" customHeight="1">
      <c r="A450" t="inlineStr">
        <is>
          <t>A 49988-2023</t>
        </is>
      </c>
      <c r="B450" s="1" t="n">
        <v>45215</v>
      </c>
      <c r="C450" s="1" t="n">
        <v>46011</v>
      </c>
      <c r="D450" t="inlineStr">
        <is>
          <t>VÄSTRA GÖTALANDS LÄN</t>
        </is>
      </c>
      <c r="E450" t="inlineStr">
        <is>
          <t>KUNGÄLV</t>
        </is>
      </c>
      <c r="G450" t="n">
        <v>2.3</v>
      </c>
      <c r="H450" t="n">
        <v>1</v>
      </c>
      <c r="I450" t="n">
        <v>0</v>
      </c>
      <c r="J450" t="n">
        <v>0</v>
      </c>
      <c r="K450" t="n">
        <v>0</v>
      </c>
      <c r="L450" t="n">
        <v>0</v>
      </c>
      <c r="M450" t="n">
        <v>0</v>
      </c>
      <c r="N450" t="n">
        <v>0</v>
      </c>
      <c r="O450" t="n">
        <v>0</v>
      </c>
      <c r="P450" t="n">
        <v>0</v>
      </c>
      <c r="Q450" t="n">
        <v>1</v>
      </c>
      <c r="R450" s="2" t="inlineStr">
        <is>
          <t>Revlummer</t>
        </is>
      </c>
      <c r="S450">
        <f>HYPERLINK("https://klasma.github.io/Logging_1482/artfynd/A 49988-2023 artfynd.xlsx", "A 49988-2023")</f>
        <v/>
      </c>
      <c r="T450">
        <f>HYPERLINK("https://klasma.github.io/Logging_1482/kartor/A 49988-2023 karta.png", "A 49988-2023")</f>
        <v/>
      </c>
      <c r="V450">
        <f>HYPERLINK("https://klasma.github.io/Logging_1482/klagomål/A 49988-2023 FSC-klagomål.docx", "A 49988-2023")</f>
        <v/>
      </c>
      <c r="W450">
        <f>HYPERLINK("https://klasma.github.io/Logging_1482/klagomålsmail/A 49988-2023 FSC-klagomål mail.docx", "A 49988-2023")</f>
        <v/>
      </c>
      <c r="X450">
        <f>HYPERLINK("https://klasma.github.io/Logging_1482/tillsyn/A 49988-2023 tillsynsbegäran.docx", "A 49988-2023")</f>
        <v/>
      </c>
      <c r="Y450">
        <f>HYPERLINK("https://klasma.github.io/Logging_1482/tillsynsmail/A 49988-2023 tillsynsbegäran mail.docx", "A 49988-2023")</f>
        <v/>
      </c>
    </row>
    <row r="451" ht="15" customHeight="1">
      <c r="A451" t="inlineStr">
        <is>
          <t>A 43859-2022</t>
        </is>
      </c>
      <c r="B451" s="1" t="n">
        <v>44837</v>
      </c>
      <c r="C451" s="1" t="n">
        <v>46011</v>
      </c>
      <c r="D451" t="inlineStr">
        <is>
          <t>VÄSTRA GÖTALANDS LÄN</t>
        </is>
      </c>
      <c r="E451" t="inlineStr">
        <is>
          <t>SKÖVDE</t>
        </is>
      </c>
      <c r="G451" t="n">
        <v>1</v>
      </c>
      <c r="H451" t="n">
        <v>0</v>
      </c>
      <c r="I451" t="n">
        <v>0</v>
      </c>
      <c r="J451" t="n">
        <v>1</v>
      </c>
      <c r="K451" t="n">
        <v>0</v>
      </c>
      <c r="L451" t="n">
        <v>0</v>
      </c>
      <c r="M451" t="n">
        <v>0</v>
      </c>
      <c r="N451" t="n">
        <v>0</v>
      </c>
      <c r="O451" t="n">
        <v>1</v>
      </c>
      <c r="P451" t="n">
        <v>0</v>
      </c>
      <c r="Q451" t="n">
        <v>1</v>
      </c>
      <c r="R451" s="2" t="inlineStr">
        <is>
          <t>Gullklöver</t>
        </is>
      </c>
      <c r="S451">
        <f>HYPERLINK("https://klasma.github.io/Logging_1496/artfynd/A 43859-2022 artfynd.xlsx", "A 43859-2022")</f>
        <v/>
      </c>
      <c r="T451">
        <f>HYPERLINK("https://klasma.github.io/Logging_1496/kartor/A 43859-2022 karta.png", "A 43859-2022")</f>
        <v/>
      </c>
      <c r="V451">
        <f>HYPERLINK("https://klasma.github.io/Logging_1496/klagomål/A 43859-2022 FSC-klagomål.docx", "A 43859-2022")</f>
        <v/>
      </c>
      <c r="W451">
        <f>HYPERLINK("https://klasma.github.io/Logging_1496/klagomålsmail/A 43859-2022 FSC-klagomål mail.docx", "A 43859-2022")</f>
        <v/>
      </c>
      <c r="X451">
        <f>HYPERLINK("https://klasma.github.io/Logging_1496/tillsyn/A 43859-2022 tillsynsbegäran.docx", "A 43859-2022")</f>
        <v/>
      </c>
      <c r="Y451">
        <f>HYPERLINK("https://klasma.github.io/Logging_1496/tillsynsmail/A 43859-2022 tillsynsbegäran mail.docx", "A 43859-2022")</f>
        <v/>
      </c>
    </row>
    <row r="452" ht="15" customHeight="1">
      <c r="A452" t="inlineStr">
        <is>
          <t>A 3976-2024</t>
        </is>
      </c>
      <c r="B452" s="1" t="n">
        <v>45322</v>
      </c>
      <c r="C452" s="1" t="n">
        <v>46011</v>
      </c>
      <c r="D452" t="inlineStr">
        <is>
          <t>VÄSTRA GÖTALANDS LÄN</t>
        </is>
      </c>
      <c r="E452" t="inlineStr">
        <is>
          <t>TIDAHOLM</t>
        </is>
      </c>
      <c r="G452" t="n">
        <v>1.9</v>
      </c>
      <c r="H452" t="n">
        <v>1</v>
      </c>
      <c r="I452" t="n">
        <v>0</v>
      </c>
      <c r="J452" t="n">
        <v>1</v>
      </c>
      <c r="K452" t="n">
        <v>0</v>
      </c>
      <c r="L452" t="n">
        <v>0</v>
      </c>
      <c r="M452" t="n">
        <v>0</v>
      </c>
      <c r="N452" t="n">
        <v>0</v>
      </c>
      <c r="O452" t="n">
        <v>1</v>
      </c>
      <c r="P452" t="n">
        <v>0</v>
      </c>
      <c r="Q452" t="n">
        <v>1</v>
      </c>
      <c r="R452" s="2" t="inlineStr">
        <is>
          <t>Brunlångöra</t>
        </is>
      </c>
      <c r="S452">
        <f>HYPERLINK("https://klasma.github.io/Logging_1498/artfynd/A 3976-2024 artfynd.xlsx", "A 3976-2024")</f>
        <v/>
      </c>
      <c r="T452">
        <f>HYPERLINK("https://klasma.github.io/Logging_1498/kartor/A 3976-2024 karta.png", "A 3976-2024")</f>
        <v/>
      </c>
      <c r="V452">
        <f>HYPERLINK("https://klasma.github.io/Logging_1498/klagomål/A 3976-2024 FSC-klagomål.docx", "A 3976-2024")</f>
        <v/>
      </c>
      <c r="W452">
        <f>HYPERLINK("https://klasma.github.io/Logging_1498/klagomålsmail/A 3976-2024 FSC-klagomål mail.docx", "A 3976-2024")</f>
        <v/>
      </c>
      <c r="X452">
        <f>HYPERLINK("https://klasma.github.io/Logging_1498/tillsyn/A 3976-2024 tillsynsbegäran.docx", "A 3976-2024")</f>
        <v/>
      </c>
      <c r="Y452">
        <f>HYPERLINK("https://klasma.github.io/Logging_1498/tillsynsmail/A 3976-2024 tillsynsbegäran mail.docx", "A 3976-2024")</f>
        <v/>
      </c>
    </row>
    <row r="453" ht="15" customHeight="1">
      <c r="A453" t="inlineStr">
        <is>
          <t>A 24520-2024</t>
        </is>
      </c>
      <c r="B453" s="1" t="n">
        <v>45458</v>
      </c>
      <c r="C453" s="1" t="n">
        <v>46011</v>
      </c>
      <c r="D453" t="inlineStr">
        <is>
          <t>VÄSTRA GÖTALANDS LÄN</t>
        </is>
      </c>
      <c r="E453" t="inlineStr">
        <is>
          <t>MUNKEDAL</t>
        </is>
      </c>
      <c r="G453" t="n">
        <v>7</v>
      </c>
      <c r="H453" t="n">
        <v>1</v>
      </c>
      <c r="I453" t="n">
        <v>0</v>
      </c>
      <c r="J453" t="n">
        <v>1</v>
      </c>
      <c r="K453" t="n">
        <v>0</v>
      </c>
      <c r="L453" t="n">
        <v>0</v>
      </c>
      <c r="M453" t="n">
        <v>0</v>
      </c>
      <c r="N453" t="n">
        <v>0</v>
      </c>
      <c r="O453" t="n">
        <v>1</v>
      </c>
      <c r="P453" t="n">
        <v>0</v>
      </c>
      <c r="Q453" t="n">
        <v>1</v>
      </c>
      <c r="R453" s="2" t="inlineStr">
        <is>
          <t>Havsörn</t>
        </is>
      </c>
      <c r="S453">
        <f>HYPERLINK("https://klasma.github.io/Logging_1430/artfynd/A 24520-2024 artfynd.xlsx", "A 24520-2024")</f>
        <v/>
      </c>
      <c r="T453">
        <f>HYPERLINK("https://klasma.github.io/Logging_1430/kartor/A 24520-2024 karta.png", "A 24520-2024")</f>
        <v/>
      </c>
      <c r="V453">
        <f>HYPERLINK("https://klasma.github.io/Logging_1430/klagomål/A 24520-2024 FSC-klagomål.docx", "A 24520-2024")</f>
        <v/>
      </c>
      <c r="W453">
        <f>HYPERLINK("https://klasma.github.io/Logging_1430/klagomålsmail/A 24520-2024 FSC-klagomål mail.docx", "A 24520-2024")</f>
        <v/>
      </c>
      <c r="X453">
        <f>HYPERLINK("https://klasma.github.io/Logging_1430/tillsyn/A 24520-2024 tillsynsbegäran.docx", "A 24520-2024")</f>
        <v/>
      </c>
      <c r="Y453">
        <f>HYPERLINK("https://klasma.github.io/Logging_1430/tillsynsmail/A 24520-2024 tillsynsbegäran mail.docx", "A 24520-2024")</f>
        <v/>
      </c>
      <c r="Z453">
        <f>HYPERLINK("https://klasma.github.io/Logging_1430/fåglar/A 24520-2024 prioriterade fågelarter.docx", "A 24520-2024")</f>
        <v/>
      </c>
    </row>
    <row r="454" ht="15" customHeight="1">
      <c r="A454" t="inlineStr">
        <is>
          <t>A 58292-2023</t>
        </is>
      </c>
      <c r="B454" s="1" t="n">
        <v>45250</v>
      </c>
      <c r="C454" s="1" t="n">
        <v>46011</v>
      </c>
      <c r="D454" t="inlineStr">
        <is>
          <t>VÄSTRA GÖTALANDS LÄN</t>
        </is>
      </c>
      <c r="E454" t="inlineStr">
        <is>
          <t>VÄNERSBORG</t>
        </is>
      </c>
      <c r="G454" t="n">
        <v>19</v>
      </c>
      <c r="H454" t="n">
        <v>0</v>
      </c>
      <c r="I454" t="n">
        <v>0</v>
      </c>
      <c r="J454" t="n">
        <v>0</v>
      </c>
      <c r="K454" t="n">
        <v>0</v>
      </c>
      <c r="L454" t="n">
        <v>1</v>
      </c>
      <c r="M454" t="n">
        <v>0</v>
      </c>
      <c r="N454" t="n">
        <v>0</v>
      </c>
      <c r="O454" t="n">
        <v>1</v>
      </c>
      <c r="P454" t="n">
        <v>1</v>
      </c>
      <c r="Q454" t="n">
        <v>1</v>
      </c>
      <c r="R454" s="2" t="inlineStr">
        <is>
          <t>Ask</t>
        </is>
      </c>
      <c r="S454">
        <f>HYPERLINK("https://klasma.github.io/Logging_1487/artfynd/A 58292-2023 artfynd.xlsx", "A 58292-2023")</f>
        <v/>
      </c>
      <c r="T454">
        <f>HYPERLINK("https://klasma.github.io/Logging_1487/kartor/A 58292-2023 karta.png", "A 58292-2023")</f>
        <v/>
      </c>
      <c r="V454">
        <f>HYPERLINK("https://klasma.github.io/Logging_1487/klagomål/A 58292-2023 FSC-klagomål.docx", "A 58292-2023")</f>
        <v/>
      </c>
      <c r="W454">
        <f>HYPERLINK("https://klasma.github.io/Logging_1487/klagomålsmail/A 58292-2023 FSC-klagomål mail.docx", "A 58292-2023")</f>
        <v/>
      </c>
      <c r="X454">
        <f>HYPERLINK("https://klasma.github.io/Logging_1487/tillsyn/A 58292-2023 tillsynsbegäran.docx", "A 58292-2023")</f>
        <v/>
      </c>
      <c r="Y454">
        <f>HYPERLINK("https://klasma.github.io/Logging_1487/tillsynsmail/A 58292-2023 tillsynsbegäran mail.docx", "A 58292-2023")</f>
        <v/>
      </c>
    </row>
    <row r="455" ht="15" customHeight="1">
      <c r="A455" t="inlineStr">
        <is>
          <t>A 13220-2024</t>
        </is>
      </c>
      <c r="B455" s="1" t="n">
        <v>45386.52466435185</v>
      </c>
      <c r="C455" s="1" t="n">
        <v>46011</v>
      </c>
      <c r="D455" t="inlineStr">
        <is>
          <t>VÄSTRA GÖTALANDS LÄN</t>
        </is>
      </c>
      <c r="E455" t="inlineStr">
        <is>
          <t>ORUST</t>
        </is>
      </c>
      <c r="G455" t="n">
        <v>3.3</v>
      </c>
      <c r="H455" t="n">
        <v>1</v>
      </c>
      <c r="I455" t="n">
        <v>0</v>
      </c>
      <c r="J455" t="n">
        <v>0</v>
      </c>
      <c r="K455" t="n">
        <v>1</v>
      </c>
      <c r="L455" t="n">
        <v>0</v>
      </c>
      <c r="M455" t="n">
        <v>0</v>
      </c>
      <c r="N455" t="n">
        <v>0</v>
      </c>
      <c r="O455" t="n">
        <v>1</v>
      </c>
      <c r="P455" t="n">
        <v>1</v>
      </c>
      <c r="Q455" t="n">
        <v>1</v>
      </c>
      <c r="R455" s="2" t="inlineStr">
        <is>
          <t>Knärot</t>
        </is>
      </c>
      <c r="S455">
        <f>HYPERLINK("https://klasma.github.io/Logging_1421/artfynd/A 13220-2024 artfynd.xlsx", "A 13220-2024")</f>
        <v/>
      </c>
      <c r="T455">
        <f>HYPERLINK("https://klasma.github.io/Logging_1421/kartor/A 13220-2024 karta.png", "A 13220-2024")</f>
        <v/>
      </c>
      <c r="U455">
        <f>HYPERLINK("https://klasma.github.io/Logging_1421/knärot/A 13220-2024 karta knärot.png", "A 13220-2024")</f>
        <v/>
      </c>
      <c r="V455">
        <f>HYPERLINK("https://klasma.github.io/Logging_1421/klagomål/A 13220-2024 FSC-klagomål.docx", "A 13220-2024")</f>
        <v/>
      </c>
      <c r="W455">
        <f>HYPERLINK("https://klasma.github.io/Logging_1421/klagomålsmail/A 13220-2024 FSC-klagomål mail.docx", "A 13220-2024")</f>
        <v/>
      </c>
      <c r="X455">
        <f>HYPERLINK("https://klasma.github.io/Logging_1421/tillsyn/A 13220-2024 tillsynsbegäran.docx", "A 13220-2024")</f>
        <v/>
      </c>
      <c r="Y455">
        <f>HYPERLINK("https://klasma.github.io/Logging_1421/tillsynsmail/A 13220-2024 tillsynsbegäran mail.docx", "A 13220-2024")</f>
        <v/>
      </c>
    </row>
    <row r="456" ht="15" customHeight="1">
      <c r="A456" t="inlineStr">
        <is>
          <t>A 47426-2023</t>
        </is>
      </c>
      <c r="B456" s="1" t="n">
        <v>45202</v>
      </c>
      <c r="C456" s="1" t="n">
        <v>46011</v>
      </c>
      <c r="D456" t="inlineStr">
        <is>
          <t>VÄSTRA GÖTALANDS LÄN</t>
        </is>
      </c>
      <c r="E456" t="inlineStr">
        <is>
          <t>FALKÖPING</t>
        </is>
      </c>
      <c r="G456" t="n">
        <v>0.3</v>
      </c>
      <c r="H456" t="n">
        <v>0</v>
      </c>
      <c r="I456" t="n">
        <v>1</v>
      </c>
      <c r="J456" t="n">
        <v>0</v>
      </c>
      <c r="K456" t="n">
        <v>0</v>
      </c>
      <c r="L456" t="n">
        <v>0</v>
      </c>
      <c r="M456" t="n">
        <v>0</v>
      </c>
      <c r="N456" t="n">
        <v>0</v>
      </c>
      <c r="O456" t="n">
        <v>0</v>
      </c>
      <c r="P456" t="n">
        <v>0</v>
      </c>
      <c r="Q456" t="n">
        <v>1</v>
      </c>
      <c r="R456" s="2" t="inlineStr">
        <is>
          <t>Blåmossa</t>
        </is>
      </c>
      <c r="S456">
        <f>HYPERLINK("https://klasma.github.io/Logging_1499/artfynd/A 47426-2023 artfynd.xlsx", "A 47426-2023")</f>
        <v/>
      </c>
      <c r="T456">
        <f>HYPERLINK("https://klasma.github.io/Logging_1499/kartor/A 47426-2023 karta.png", "A 47426-2023")</f>
        <v/>
      </c>
      <c r="V456">
        <f>HYPERLINK("https://klasma.github.io/Logging_1499/klagomål/A 47426-2023 FSC-klagomål.docx", "A 47426-2023")</f>
        <v/>
      </c>
      <c r="W456">
        <f>HYPERLINK("https://klasma.github.io/Logging_1499/klagomålsmail/A 47426-2023 FSC-klagomål mail.docx", "A 47426-2023")</f>
        <v/>
      </c>
      <c r="X456">
        <f>HYPERLINK("https://klasma.github.io/Logging_1499/tillsyn/A 47426-2023 tillsynsbegäran.docx", "A 47426-2023")</f>
        <v/>
      </c>
      <c r="Y456">
        <f>HYPERLINK("https://klasma.github.io/Logging_1499/tillsynsmail/A 47426-2023 tillsynsbegäran mail.docx", "A 47426-2023")</f>
        <v/>
      </c>
    </row>
    <row r="457" ht="15" customHeight="1">
      <c r="A457" t="inlineStr">
        <is>
          <t>A 32276-2023</t>
        </is>
      </c>
      <c r="B457" s="1" t="n">
        <v>45120.36098379629</v>
      </c>
      <c r="C457" s="1" t="n">
        <v>46011</v>
      </c>
      <c r="D457" t="inlineStr">
        <is>
          <t>VÄSTRA GÖTALANDS LÄN</t>
        </is>
      </c>
      <c r="E457" t="inlineStr">
        <is>
          <t>ULRICEHAMN</t>
        </is>
      </c>
      <c r="G457" t="n">
        <v>9.300000000000001</v>
      </c>
      <c r="H457" t="n">
        <v>1</v>
      </c>
      <c r="I457" t="n">
        <v>0</v>
      </c>
      <c r="J457" t="n">
        <v>0</v>
      </c>
      <c r="K457" t="n">
        <v>0</v>
      </c>
      <c r="L457" t="n">
        <v>1</v>
      </c>
      <c r="M457" t="n">
        <v>0</v>
      </c>
      <c r="N457" t="n">
        <v>0</v>
      </c>
      <c r="O457" t="n">
        <v>1</v>
      </c>
      <c r="P457" t="n">
        <v>1</v>
      </c>
      <c r="Q457" t="n">
        <v>1</v>
      </c>
      <c r="R457" s="2" t="inlineStr">
        <is>
          <t>Smalbladig lungört</t>
        </is>
      </c>
      <c r="S457">
        <f>HYPERLINK("https://klasma.github.io/Logging_1491/artfynd/A 32276-2023 artfynd.xlsx", "A 32276-2023")</f>
        <v/>
      </c>
      <c r="T457">
        <f>HYPERLINK("https://klasma.github.io/Logging_1491/kartor/A 32276-2023 karta.png", "A 32276-2023")</f>
        <v/>
      </c>
      <c r="V457">
        <f>HYPERLINK("https://klasma.github.io/Logging_1491/klagomål/A 32276-2023 FSC-klagomål.docx", "A 32276-2023")</f>
        <v/>
      </c>
      <c r="W457">
        <f>HYPERLINK("https://klasma.github.io/Logging_1491/klagomålsmail/A 32276-2023 FSC-klagomål mail.docx", "A 32276-2023")</f>
        <v/>
      </c>
      <c r="X457">
        <f>HYPERLINK("https://klasma.github.io/Logging_1491/tillsyn/A 32276-2023 tillsynsbegäran.docx", "A 32276-2023")</f>
        <v/>
      </c>
      <c r="Y457">
        <f>HYPERLINK("https://klasma.github.io/Logging_1491/tillsynsmail/A 32276-2023 tillsynsbegäran mail.docx", "A 32276-2023")</f>
        <v/>
      </c>
    </row>
    <row r="458" ht="15" customHeight="1">
      <c r="A458" t="inlineStr">
        <is>
          <t>A 4933-2023</t>
        </is>
      </c>
      <c r="B458" s="1" t="n">
        <v>44958</v>
      </c>
      <c r="C458" s="1" t="n">
        <v>46011</v>
      </c>
      <c r="D458" t="inlineStr">
        <is>
          <t>VÄSTRA GÖTALANDS LÄN</t>
        </is>
      </c>
      <c r="E458" t="inlineStr">
        <is>
          <t>BORÅS</t>
        </is>
      </c>
      <c r="G458" t="n">
        <v>3.4</v>
      </c>
      <c r="H458" t="n">
        <v>1</v>
      </c>
      <c r="I458" t="n">
        <v>0</v>
      </c>
      <c r="J458" t="n">
        <v>0</v>
      </c>
      <c r="K458" t="n">
        <v>0</v>
      </c>
      <c r="L458" t="n">
        <v>0</v>
      </c>
      <c r="M458" t="n">
        <v>0</v>
      </c>
      <c r="N458" t="n">
        <v>0</v>
      </c>
      <c r="O458" t="n">
        <v>0</v>
      </c>
      <c r="P458" t="n">
        <v>0</v>
      </c>
      <c r="Q458" t="n">
        <v>1</v>
      </c>
      <c r="R458" s="2" t="inlineStr">
        <is>
          <t>Vanlig groda</t>
        </is>
      </c>
      <c r="S458">
        <f>HYPERLINK("https://klasma.github.io/Logging_1490/artfynd/A 4933-2023 artfynd.xlsx", "A 4933-2023")</f>
        <v/>
      </c>
      <c r="T458">
        <f>HYPERLINK("https://klasma.github.io/Logging_1490/kartor/A 4933-2023 karta.png", "A 4933-2023")</f>
        <v/>
      </c>
      <c r="V458">
        <f>HYPERLINK("https://klasma.github.io/Logging_1490/klagomål/A 4933-2023 FSC-klagomål.docx", "A 4933-2023")</f>
        <v/>
      </c>
      <c r="W458">
        <f>HYPERLINK("https://klasma.github.io/Logging_1490/klagomålsmail/A 4933-2023 FSC-klagomål mail.docx", "A 4933-2023")</f>
        <v/>
      </c>
      <c r="X458">
        <f>HYPERLINK("https://klasma.github.io/Logging_1490/tillsyn/A 4933-2023 tillsynsbegäran.docx", "A 4933-2023")</f>
        <v/>
      </c>
      <c r="Y458">
        <f>HYPERLINK("https://klasma.github.io/Logging_1490/tillsynsmail/A 4933-2023 tillsynsbegäran mail.docx", "A 4933-2023")</f>
        <v/>
      </c>
    </row>
    <row r="459" ht="15" customHeight="1">
      <c r="A459" t="inlineStr">
        <is>
          <t>A 9930-2024</t>
        </is>
      </c>
      <c r="B459" s="1" t="n">
        <v>45363.57760416667</v>
      </c>
      <c r="C459" s="1" t="n">
        <v>46011</v>
      </c>
      <c r="D459" t="inlineStr">
        <is>
          <t>VÄSTRA GÖTALANDS LÄN</t>
        </is>
      </c>
      <c r="E459" t="inlineStr">
        <is>
          <t>BOLLEBYGD</t>
        </is>
      </c>
      <c r="G459" t="n">
        <v>4.3</v>
      </c>
      <c r="H459" t="n">
        <v>1</v>
      </c>
      <c r="I459" t="n">
        <v>0</v>
      </c>
      <c r="J459" t="n">
        <v>1</v>
      </c>
      <c r="K459" t="n">
        <v>0</v>
      </c>
      <c r="L459" t="n">
        <v>0</v>
      </c>
      <c r="M459" t="n">
        <v>0</v>
      </c>
      <c r="N459" t="n">
        <v>0</v>
      </c>
      <c r="O459" t="n">
        <v>1</v>
      </c>
      <c r="P459" t="n">
        <v>0</v>
      </c>
      <c r="Q459" t="n">
        <v>1</v>
      </c>
      <c r="R459" s="2" t="inlineStr">
        <is>
          <t>Spillkråka</t>
        </is>
      </c>
      <c r="S459">
        <f>HYPERLINK("https://klasma.github.io/Logging_1443/artfynd/A 9930-2024 artfynd.xlsx", "A 9930-2024")</f>
        <v/>
      </c>
      <c r="T459">
        <f>HYPERLINK("https://klasma.github.io/Logging_1443/kartor/A 9930-2024 karta.png", "A 9930-2024")</f>
        <v/>
      </c>
      <c r="V459">
        <f>HYPERLINK("https://klasma.github.io/Logging_1443/klagomål/A 9930-2024 FSC-klagomål.docx", "A 9930-2024")</f>
        <v/>
      </c>
      <c r="W459">
        <f>HYPERLINK("https://klasma.github.io/Logging_1443/klagomålsmail/A 9930-2024 FSC-klagomål mail.docx", "A 9930-2024")</f>
        <v/>
      </c>
      <c r="X459">
        <f>HYPERLINK("https://klasma.github.io/Logging_1443/tillsyn/A 9930-2024 tillsynsbegäran.docx", "A 9930-2024")</f>
        <v/>
      </c>
      <c r="Y459">
        <f>HYPERLINK("https://klasma.github.io/Logging_1443/tillsynsmail/A 9930-2024 tillsynsbegäran mail.docx", "A 9930-2024")</f>
        <v/>
      </c>
      <c r="Z459">
        <f>HYPERLINK("https://klasma.github.io/Logging_1443/fåglar/A 9930-2024 prioriterade fågelarter.docx", "A 9930-2024")</f>
        <v/>
      </c>
    </row>
    <row r="460" ht="15" customHeight="1">
      <c r="A460" t="inlineStr">
        <is>
          <t>A 17920-2023</t>
        </is>
      </c>
      <c r="B460" s="1" t="n">
        <v>45040</v>
      </c>
      <c r="C460" s="1" t="n">
        <v>46011</v>
      </c>
      <c r="D460" t="inlineStr">
        <is>
          <t>VÄSTRA GÖTALANDS LÄN</t>
        </is>
      </c>
      <c r="E460" t="inlineStr">
        <is>
          <t>VÄNERSBORG</t>
        </is>
      </c>
      <c r="G460" t="n">
        <v>1.2</v>
      </c>
      <c r="H460" t="n">
        <v>1</v>
      </c>
      <c r="I460" t="n">
        <v>0</v>
      </c>
      <c r="J460" t="n">
        <v>0</v>
      </c>
      <c r="K460" t="n">
        <v>0</v>
      </c>
      <c r="L460" t="n">
        <v>0</v>
      </c>
      <c r="M460" t="n">
        <v>0</v>
      </c>
      <c r="N460" t="n">
        <v>0</v>
      </c>
      <c r="O460" t="n">
        <v>0</v>
      </c>
      <c r="P460" t="n">
        <v>0</v>
      </c>
      <c r="Q460" t="n">
        <v>1</v>
      </c>
      <c r="R460" s="2" t="inlineStr">
        <is>
          <t>Vanlig padda</t>
        </is>
      </c>
      <c r="S460">
        <f>HYPERLINK("https://klasma.github.io/Logging_1487/artfynd/A 17920-2023 artfynd.xlsx", "A 17920-2023")</f>
        <v/>
      </c>
      <c r="T460">
        <f>HYPERLINK("https://klasma.github.io/Logging_1487/kartor/A 17920-2023 karta.png", "A 17920-2023")</f>
        <v/>
      </c>
      <c r="V460">
        <f>HYPERLINK("https://klasma.github.io/Logging_1487/klagomål/A 17920-2023 FSC-klagomål.docx", "A 17920-2023")</f>
        <v/>
      </c>
      <c r="W460">
        <f>HYPERLINK("https://klasma.github.io/Logging_1487/klagomålsmail/A 17920-2023 FSC-klagomål mail.docx", "A 17920-2023")</f>
        <v/>
      </c>
      <c r="X460">
        <f>HYPERLINK("https://klasma.github.io/Logging_1487/tillsyn/A 17920-2023 tillsynsbegäran.docx", "A 17920-2023")</f>
        <v/>
      </c>
      <c r="Y460">
        <f>HYPERLINK("https://klasma.github.io/Logging_1487/tillsynsmail/A 17920-2023 tillsynsbegäran mail.docx", "A 17920-2023")</f>
        <v/>
      </c>
    </row>
    <row r="461" ht="15" customHeight="1">
      <c r="A461" t="inlineStr">
        <is>
          <t>A 24087-2025</t>
        </is>
      </c>
      <c r="B461" s="1" t="n">
        <v>45795</v>
      </c>
      <c r="C461" s="1" t="n">
        <v>46011</v>
      </c>
      <c r="D461" t="inlineStr">
        <is>
          <t>VÄSTRA GÖTALANDS LÄN</t>
        </is>
      </c>
      <c r="E461" t="inlineStr">
        <is>
          <t>SOTENÄS</t>
        </is>
      </c>
      <c r="G461" t="n">
        <v>30.3</v>
      </c>
      <c r="H461" t="n">
        <v>0</v>
      </c>
      <c r="I461" t="n">
        <v>0</v>
      </c>
      <c r="J461" t="n">
        <v>1</v>
      </c>
      <c r="K461" t="n">
        <v>0</v>
      </c>
      <c r="L461" t="n">
        <v>0</v>
      </c>
      <c r="M461" t="n">
        <v>0</v>
      </c>
      <c r="N461" t="n">
        <v>0</v>
      </c>
      <c r="O461" t="n">
        <v>1</v>
      </c>
      <c r="P461" t="n">
        <v>0</v>
      </c>
      <c r="Q461" t="n">
        <v>1</v>
      </c>
      <c r="R461" s="2" t="inlineStr">
        <is>
          <t>Rödlånke</t>
        </is>
      </c>
      <c r="S461">
        <f>HYPERLINK("https://klasma.github.io/Logging_1427/artfynd/A 24087-2025 artfynd.xlsx", "A 24087-2025")</f>
        <v/>
      </c>
      <c r="T461">
        <f>HYPERLINK("https://klasma.github.io/Logging_1427/kartor/A 24087-2025 karta.png", "A 24087-2025")</f>
        <v/>
      </c>
      <c r="V461">
        <f>HYPERLINK("https://klasma.github.io/Logging_1427/klagomål/A 24087-2025 FSC-klagomål.docx", "A 24087-2025")</f>
        <v/>
      </c>
      <c r="W461">
        <f>HYPERLINK("https://klasma.github.io/Logging_1427/klagomålsmail/A 24087-2025 FSC-klagomål mail.docx", "A 24087-2025")</f>
        <v/>
      </c>
      <c r="X461">
        <f>HYPERLINK("https://klasma.github.io/Logging_1427/tillsyn/A 24087-2025 tillsynsbegäran.docx", "A 24087-2025")</f>
        <v/>
      </c>
      <c r="Y461">
        <f>HYPERLINK("https://klasma.github.io/Logging_1427/tillsynsmail/A 24087-2025 tillsynsbegäran mail.docx", "A 24087-2025")</f>
        <v/>
      </c>
    </row>
    <row r="462" ht="15" customHeight="1">
      <c r="A462" t="inlineStr">
        <is>
          <t>A 24088-2025</t>
        </is>
      </c>
      <c r="B462" s="1" t="n">
        <v>45795</v>
      </c>
      <c r="C462" s="1" t="n">
        <v>46011</v>
      </c>
      <c r="D462" t="inlineStr">
        <is>
          <t>VÄSTRA GÖTALANDS LÄN</t>
        </is>
      </c>
      <c r="E462" t="inlineStr">
        <is>
          <t>SOTENÄS</t>
        </is>
      </c>
      <c r="G462" t="n">
        <v>2.8</v>
      </c>
      <c r="H462" t="n">
        <v>1</v>
      </c>
      <c r="I462" t="n">
        <v>0</v>
      </c>
      <c r="J462" t="n">
        <v>0</v>
      </c>
      <c r="K462" t="n">
        <v>0</v>
      </c>
      <c r="L462" t="n">
        <v>0</v>
      </c>
      <c r="M462" t="n">
        <v>0</v>
      </c>
      <c r="N462" t="n">
        <v>0</v>
      </c>
      <c r="O462" t="n">
        <v>0</v>
      </c>
      <c r="P462" t="n">
        <v>0</v>
      </c>
      <c r="Q462" t="n">
        <v>1</v>
      </c>
      <c r="R462" s="2" t="inlineStr">
        <is>
          <t>Blåsippa</t>
        </is>
      </c>
      <c r="S462">
        <f>HYPERLINK("https://klasma.github.io/Logging_1427/artfynd/A 24088-2025 artfynd.xlsx", "A 24088-2025")</f>
        <v/>
      </c>
      <c r="T462">
        <f>HYPERLINK("https://klasma.github.io/Logging_1427/kartor/A 24088-2025 karta.png", "A 24088-2025")</f>
        <v/>
      </c>
      <c r="V462">
        <f>HYPERLINK("https://klasma.github.io/Logging_1427/klagomål/A 24088-2025 FSC-klagomål.docx", "A 24088-2025")</f>
        <v/>
      </c>
      <c r="W462">
        <f>HYPERLINK("https://klasma.github.io/Logging_1427/klagomålsmail/A 24088-2025 FSC-klagomål mail.docx", "A 24088-2025")</f>
        <v/>
      </c>
      <c r="X462">
        <f>HYPERLINK("https://klasma.github.io/Logging_1427/tillsyn/A 24088-2025 tillsynsbegäran.docx", "A 24088-2025")</f>
        <v/>
      </c>
      <c r="Y462">
        <f>HYPERLINK("https://klasma.github.io/Logging_1427/tillsynsmail/A 24088-2025 tillsynsbegäran mail.docx", "A 24088-2025")</f>
        <v/>
      </c>
    </row>
    <row r="463" ht="15" customHeight="1">
      <c r="A463" t="inlineStr">
        <is>
          <t>A 53156-2021</t>
        </is>
      </c>
      <c r="B463" s="1" t="n">
        <v>44468</v>
      </c>
      <c r="C463" s="1" t="n">
        <v>46011</v>
      </c>
      <c r="D463" t="inlineStr">
        <is>
          <t>VÄSTRA GÖTALANDS LÄN</t>
        </is>
      </c>
      <c r="E463" t="inlineStr">
        <is>
          <t>STENUNGSUND</t>
        </is>
      </c>
      <c r="G463" t="n">
        <v>10.4</v>
      </c>
      <c r="H463" t="n">
        <v>1</v>
      </c>
      <c r="I463" t="n">
        <v>0</v>
      </c>
      <c r="J463" t="n">
        <v>0</v>
      </c>
      <c r="K463" t="n">
        <v>1</v>
      </c>
      <c r="L463" t="n">
        <v>0</v>
      </c>
      <c r="M463" t="n">
        <v>0</v>
      </c>
      <c r="N463" t="n">
        <v>0</v>
      </c>
      <c r="O463" t="n">
        <v>1</v>
      </c>
      <c r="P463" t="n">
        <v>1</v>
      </c>
      <c r="Q463" t="n">
        <v>1</v>
      </c>
      <c r="R463" s="2" t="inlineStr">
        <is>
          <t>Knärot</t>
        </is>
      </c>
      <c r="S463">
        <f>HYPERLINK("https://klasma.github.io/Logging_1415/artfynd/A 53156-2021 artfynd.xlsx", "A 53156-2021")</f>
        <v/>
      </c>
      <c r="T463">
        <f>HYPERLINK("https://klasma.github.io/Logging_1415/kartor/A 53156-2021 karta.png", "A 53156-2021")</f>
        <v/>
      </c>
      <c r="U463">
        <f>HYPERLINK("https://klasma.github.io/Logging_1415/knärot/A 53156-2021 karta knärot.png", "A 53156-2021")</f>
        <v/>
      </c>
      <c r="V463">
        <f>HYPERLINK("https://klasma.github.io/Logging_1415/klagomål/A 53156-2021 FSC-klagomål.docx", "A 53156-2021")</f>
        <v/>
      </c>
      <c r="W463">
        <f>HYPERLINK("https://klasma.github.io/Logging_1415/klagomålsmail/A 53156-2021 FSC-klagomål mail.docx", "A 53156-2021")</f>
        <v/>
      </c>
      <c r="X463">
        <f>HYPERLINK("https://klasma.github.io/Logging_1415/tillsyn/A 53156-2021 tillsynsbegäran.docx", "A 53156-2021")</f>
        <v/>
      </c>
      <c r="Y463">
        <f>HYPERLINK("https://klasma.github.io/Logging_1415/tillsynsmail/A 53156-2021 tillsynsbegäran mail.docx", "A 53156-2021")</f>
        <v/>
      </c>
    </row>
    <row r="464" ht="15" customHeight="1">
      <c r="A464" t="inlineStr">
        <is>
          <t>A 27055-2025</t>
        </is>
      </c>
      <c r="B464" s="1" t="n">
        <v>45811.62898148148</v>
      </c>
      <c r="C464" s="1" t="n">
        <v>46011</v>
      </c>
      <c r="D464" t="inlineStr">
        <is>
          <t>VÄSTRA GÖTALANDS LÄN</t>
        </is>
      </c>
      <c r="E464" t="inlineStr">
        <is>
          <t>VÄNERSBORG</t>
        </is>
      </c>
      <c r="G464" t="n">
        <v>6.1</v>
      </c>
      <c r="H464" t="n">
        <v>0</v>
      </c>
      <c r="I464" t="n">
        <v>1</v>
      </c>
      <c r="J464" t="n">
        <v>0</v>
      </c>
      <c r="K464" t="n">
        <v>0</v>
      </c>
      <c r="L464" t="n">
        <v>0</v>
      </c>
      <c r="M464" t="n">
        <v>0</v>
      </c>
      <c r="N464" t="n">
        <v>0</v>
      </c>
      <c r="O464" t="n">
        <v>0</v>
      </c>
      <c r="P464" t="n">
        <v>0</v>
      </c>
      <c r="Q464" t="n">
        <v>1</v>
      </c>
      <c r="R464" s="2" t="inlineStr">
        <is>
          <t>Barkticka</t>
        </is>
      </c>
      <c r="S464">
        <f>HYPERLINK("https://klasma.github.io/Logging_1487/artfynd/A 27055-2025 artfynd.xlsx", "A 27055-2025")</f>
        <v/>
      </c>
      <c r="T464">
        <f>HYPERLINK("https://klasma.github.io/Logging_1487/kartor/A 27055-2025 karta.png", "A 27055-2025")</f>
        <v/>
      </c>
      <c r="V464">
        <f>HYPERLINK("https://klasma.github.io/Logging_1487/klagomål/A 27055-2025 FSC-klagomål.docx", "A 27055-2025")</f>
        <v/>
      </c>
      <c r="W464">
        <f>HYPERLINK("https://klasma.github.io/Logging_1487/klagomålsmail/A 27055-2025 FSC-klagomål mail.docx", "A 27055-2025")</f>
        <v/>
      </c>
      <c r="X464">
        <f>HYPERLINK("https://klasma.github.io/Logging_1487/tillsyn/A 27055-2025 tillsynsbegäran.docx", "A 27055-2025")</f>
        <v/>
      </c>
      <c r="Y464">
        <f>HYPERLINK("https://klasma.github.io/Logging_1487/tillsynsmail/A 27055-2025 tillsynsbegäran mail.docx", "A 27055-2025")</f>
        <v/>
      </c>
    </row>
    <row r="465" ht="15" customHeight="1">
      <c r="A465" t="inlineStr">
        <is>
          <t>A 31714-2023</t>
        </is>
      </c>
      <c r="B465" s="1" t="n">
        <v>45117.83711805556</v>
      </c>
      <c r="C465" s="1" t="n">
        <v>46011</v>
      </c>
      <c r="D465" t="inlineStr">
        <is>
          <t>VÄSTRA GÖTALANDS LÄN</t>
        </is>
      </c>
      <c r="E465" t="inlineStr">
        <is>
          <t>BOLLEBYGD</t>
        </is>
      </c>
      <c r="G465" t="n">
        <v>2.4</v>
      </c>
      <c r="H465" t="n">
        <v>1</v>
      </c>
      <c r="I465" t="n">
        <v>0</v>
      </c>
      <c r="J465" t="n">
        <v>1</v>
      </c>
      <c r="K465" t="n">
        <v>0</v>
      </c>
      <c r="L465" t="n">
        <v>0</v>
      </c>
      <c r="M465" t="n">
        <v>0</v>
      </c>
      <c r="N465" t="n">
        <v>0</v>
      </c>
      <c r="O465" t="n">
        <v>1</v>
      </c>
      <c r="P465" t="n">
        <v>0</v>
      </c>
      <c r="Q465" t="n">
        <v>1</v>
      </c>
      <c r="R465" s="2" t="inlineStr">
        <is>
          <t>Spillkråka</t>
        </is>
      </c>
      <c r="S465">
        <f>HYPERLINK("https://klasma.github.io/Logging_1443/artfynd/A 31714-2023 artfynd.xlsx", "A 31714-2023")</f>
        <v/>
      </c>
      <c r="T465">
        <f>HYPERLINK("https://klasma.github.io/Logging_1443/kartor/A 31714-2023 karta.png", "A 31714-2023")</f>
        <v/>
      </c>
      <c r="V465">
        <f>HYPERLINK("https://klasma.github.io/Logging_1443/klagomål/A 31714-2023 FSC-klagomål.docx", "A 31714-2023")</f>
        <v/>
      </c>
      <c r="W465">
        <f>HYPERLINK("https://klasma.github.io/Logging_1443/klagomålsmail/A 31714-2023 FSC-klagomål mail.docx", "A 31714-2023")</f>
        <v/>
      </c>
      <c r="X465">
        <f>HYPERLINK("https://klasma.github.io/Logging_1443/tillsyn/A 31714-2023 tillsynsbegäran.docx", "A 31714-2023")</f>
        <v/>
      </c>
      <c r="Y465">
        <f>HYPERLINK("https://klasma.github.io/Logging_1443/tillsynsmail/A 31714-2023 tillsynsbegäran mail.docx", "A 31714-2023")</f>
        <v/>
      </c>
      <c r="Z465">
        <f>HYPERLINK("https://klasma.github.io/Logging_1443/fåglar/A 31714-2023 prioriterade fågelarter.docx", "A 31714-2023")</f>
        <v/>
      </c>
    </row>
    <row r="466" ht="15" customHeight="1">
      <c r="A466" t="inlineStr">
        <is>
          <t>A 23755-2025</t>
        </is>
      </c>
      <c r="B466" s="1" t="n">
        <v>45793.45805555556</v>
      </c>
      <c r="C466" s="1" t="n">
        <v>46011</v>
      </c>
      <c r="D466" t="inlineStr">
        <is>
          <t>VÄSTRA GÖTALANDS LÄN</t>
        </is>
      </c>
      <c r="E466" t="inlineStr">
        <is>
          <t>BORÅS</t>
        </is>
      </c>
      <c r="G466" t="n">
        <v>3.2</v>
      </c>
      <c r="H466" t="n">
        <v>1</v>
      </c>
      <c r="I466" t="n">
        <v>0</v>
      </c>
      <c r="J466" t="n">
        <v>0</v>
      </c>
      <c r="K466" t="n">
        <v>0</v>
      </c>
      <c r="L466" t="n">
        <v>0</v>
      </c>
      <c r="M466" t="n">
        <v>0</v>
      </c>
      <c r="N466" t="n">
        <v>0</v>
      </c>
      <c r="O466" t="n">
        <v>0</v>
      </c>
      <c r="P466" t="n">
        <v>0</v>
      </c>
      <c r="Q466" t="n">
        <v>1</v>
      </c>
      <c r="R466" s="2" t="inlineStr">
        <is>
          <t>Vanlig groda</t>
        </is>
      </c>
      <c r="S466">
        <f>HYPERLINK("https://klasma.github.io/Logging_1490/artfynd/A 23755-2025 artfynd.xlsx", "A 23755-2025")</f>
        <v/>
      </c>
      <c r="T466">
        <f>HYPERLINK("https://klasma.github.io/Logging_1490/kartor/A 23755-2025 karta.png", "A 23755-2025")</f>
        <v/>
      </c>
      <c r="V466">
        <f>HYPERLINK("https://klasma.github.io/Logging_1490/klagomål/A 23755-2025 FSC-klagomål.docx", "A 23755-2025")</f>
        <v/>
      </c>
      <c r="W466">
        <f>HYPERLINK("https://klasma.github.io/Logging_1490/klagomålsmail/A 23755-2025 FSC-klagomål mail.docx", "A 23755-2025")</f>
        <v/>
      </c>
      <c r="X466">
        <f>HYPERLINK("https://klasma.github.io/Logging_1490/tillsyn/A 23755-2025 tillsynsbegäran.docx", "A 23755-2025")</f>
        <v/>
      </c>
      <c r="Y466">
        <f>HYPERLINK("https://klasma.github.io/Logging_1490/tillsynsmail/A 23755-2025 tillsynsbegäran mail.docx", "A 23755-2025")</f>
        <v/>
      </c>
    </row>
    <row r="467" ht="15" customHeight="1">
      <c r="A467" t="inlineStr">
        <is>
          <t>A 24036-2025</t>
        </is>
      </c>
      <c r="B467" s="1" t="n">
        <v>45795</v>
      </c>
      <c r="C467" s="1" t="n">
        <v>46011</v>
      </c>
      <c r="D467" t="inlineStr">
        <is>
          <t>VÄSTRA GÖTALANDS LÄN</t>
        </is>
      </c>
      <c r="E467" t="inlineStr">
        <is>
          <t>SOTENÄS</t>
        </is>
      </c>
      <c r="G467" t="n">
        <v>37.1</v>
      </c>
      <c r="H467" t="n">
        <v>1</v>
      </c>
      <c r="I467" t="n">
        <v>0</v>
      </c>
      <c r="J467" t="n">
        <v>0</v>
      </c>
      <c r="K467" t="n">
        <v>0</v>
      </c>
      <c r="L467" t="n">
        <v>0</v>
      </c>
      <c r="M467" t="n">
        <v>0</v>
      </c>
      <c r="N467" t="n">
        <v>0</v>
      </c>
      <c r="O467" t="n">
        <v>0</v>
      </c>
      <c r="P467" t="n">
        <v>0</v>
      </c>
      <c r="Q467" t="n">
        <v>1</v>
      </c>
      <c r="R467" s="2" t="inlineStr">
        <is>
          <t>Kopparödla</t>
        </is>
      </c>
      <c r="S467">
        <f>HYPERLINK("https://klasma.github.io/Logging_1427/artfynd/A 24036-2025 artfynd.xlsx", "A 24036-2025")</f>
        <v/>
      </c>
      <c r="T467">
        <f>HYPERLINK("https://klasma.github.io/Logging_1427/kartor/A 24036-2025 karta.png", "A 24036-2025")</f>
        <v/>
      </c>
      <c r="V467">
        <f>HYPERLINK("https://klasma.github.io/Logging_1427/klagomål/A 24036-2025 FSC-klagomål.docx", "A 24036-2025")</f>
        <v/>
      </c>
      <c r="W467">
        <f>HYPERLINK("https://klasma.github.io/Logging_1427/klagomålsmail/A 24036-2025 FSC-klagomål mail.docx", "A 24036-2025")</f>
        <v/>
      </c>
      <c r="X467">
        <f>HYPERLINK("https://klasma.github.io/Logging_1427/tillsyn/A 24036-2025 tillsynsbegäran.docx", "A 24036-2025")</f>
        <v/>
      </c>
      <c r="Y467">
        <f>HYPERLINK("https://klasma.github.io/Logging_1427/tillsynsmail/A 24036-2025 tillsynsbegäran mail.docx", "A 24036-2025")</f>
        <v/>
      </c>
    </row>
    <row r="468" ht="15" customHeight="1">
      <c r="A468" t="inlineStr">
        <is>
          <t>A 5095-2024</t>
        </is>
      </c>
      <c r="B468" s="1" t="n">
        <v>45330.36855324074</v>
      </c>
      <c r="C468" s="1" t="n">
        <v>46011</v>
      </c>
      <c r="D468" t="inlineStr">
        <is>
          <t>VÄSTRA GÖTALANDS LÄN</t>
        </is>
      </c>
      <c r="E468" t="inlineStr">
        <is>
          <t>BENGTSFORS</t>
        </is>
      </c>
      <c r="G468" t="n">
        <v>4.7</v>
      </c>
      <c r="H468" t="n">
        <v>1</v>
      </c>
      <c r="I468" t="n">
        <v>0</v>
      </c>
      <c r="J468" t="n">
        <v>0</v>
      </c>
      <c r="K468" t="n">
        <v>0</v>
      </c>
      <c r="L468" t="n">
        <v>0</v>
      </c>
      <c r="M468" t="n">
        <v>0</v>
      </c>
      <c r="N468" t="n">
        <v>0</v>
      </c>
      <c r="O468" t="n">
        <v>0</v>
      </c>
      <c r="P468" t="n">
        <v>0</v>
      </c>
      <c r="Q468" t="n">
        <v>1</v>
      </c>
      <c r="R468" s="2" t="inlineStr">
        <is>
          <t>Blåsippa</t>
        </is>
      </c>
      <c r="S468">
        <f>HYPERLINK("https://klasma.github.io/Logging_1460/artfynd/A 5095-2024 artfynd.xlsx", "A 5095-2024")</f>
        <v/>
      </c>
      <c r="T468">
        <f>HYPERLINK("https://klasma.github.io/Logging_1460/kartor/A 5095-2024 karta.png", "A 5095-2024")</f>
        <v/>
      </c>
      <c r="V468">
        <f>HYPERLINK("https://klasma.github.io/Logging_1460/klagomål/A 5095-2024 FSC-klagomål.docx", "A 5095-2024")</f>
        <v/>
      </c>
      <c r="W468">
        <f>HYPERLINK("https://klasma.github.io/Logging_1460/klagomålsmail/A 5095-2024 FSC-klagomål mail.docx", "A 5095-2024")</f>
        <v/>
      </c>
      <c r="X468">
        <f>HYPERLINK("https://klasma.github.io/Logging_1460/tillsyn/A 5095-2024 tillsynsbegäran.docx", "A 5095-2024")</f>
        <v/>
      </c>
      <c r="Y468">
        <f>HYPERLINK("https://klasma.github.io/Logging_1460/tillsynsmail/A 5095-2024 tillsynsbegäran mail.docx", "A 5095-2024")</f>
        <v/>
      </c>
    </row>
    <row r="469" ht="15" customHeight="1">
      <c r="A469" t="inlineStr">
        <is>
          <t>A 9947-2021</t>
        </is>
      </c>
      <c r="B469" s="1" t="n">
        <v>44252</v>
      </c>
      <c r="C469" s="1" t="n">
        <v>46011</v>
      </c>
      <c r="D469" t="inlineStr">
        <is>
          <t>VÄSTRA GÖTALANDS LÄN</t>
        </is>
      </c>
      <c r="E469" t="inlineStr">
        <is>
          <t>STRÖMSTAD</t>
        </is>
      </c>
      <c r="G469" t="n">
        <v>3.1</v>
      </c>
      <c r="H469" t="n">
        <v>1</v>
      </c>
      <c r="I469" t="n">
        <v>0</v>
      </c>
      <c r="J469" t="n">
        <v>0</v>
      </c>
      <c r="K469" t="n">
        <v>1</v>
      </c>
      <c r="L469" t="n">
        <v>0</v>
      </c>
      <c r="M469" t="n">
        <v>0</v>
      </c>
      <c r="N469" t="n">
        <v>0</v>
      </c>
      <c r="O469" t="n">
        <v>1</v>
      </c>
      <c r="P469" t="n">
        <v>1</v>
      </c>
      <c r="Q469" t="n">
        <v>1</v>
      </c>
      <c r="R469" s="2" t="inlineStr">
        <is>
          <t>Knärot</t>
        </is>
      </c>
      <c r="S469">
        <f>HYPERLINK("https://klasma.github.io/Logging_1486/artfynd/A 9947-2021 artfynd.xlsx", "A 9947-2021")</f>
        <v/>
      </c>
      <c r="T469">
        <f>HYPERLINK("https://klasma.github.io/Logging_1486/kartor/A 9947-2021 karta.png", "A 9947-2021")</f>
        <v/>
      </c>
      <c r="U469">
        <f>HYPERLINK("https://klasma.github.io/Logging_1486/knärot/A 9947-2021 karta knärot.png", "A 9947-2021")</f>
        <v/>
      </c>
      <c r="V469">
        <f>HYPERLINK("https://klasma.github.io/Logging_1486/klagomål/A 9947-2021 FSC-klagomål.docx", "A 9947-2021")</f>
        <v/>
      </c>
      <c r="W469">
        <f>HYPERLINK("https://klasma.github.io/Logging_1486/klagomålsmail/A 9947-2021 FSC-klagomål mail.docx", "A 9947-2021")</f>
        <v/>
      </c>
      <c r="X469">
        <f>HYPERLINK("https://klasma.github.io/Logging_1486/tillsyn/A 9947-2021 tillsynsbegäran.docx", "A 9947-2021")</f>
        <v/>
      </c>
      <c r="Y469">
        <f>HYPERLINK("https://klasma.github.io/Logging_1486/tillsynsmail/A 9947-2021 tillsynsbegäran mail.docx", "A 9947-2021")</f>
        <v/>
      </c>
    </row>
    <row r="470" ht="15" customHeight="1">
      <c r="A470" t="inlineStr">
        <is>
          <t>A 3798-2021</t>
        </is>
      </c>
      <c r="B470" s="1" t="n">
        <v>44221</v>
      </c>
      <c r="C470" s="1" t="n">
        <v>46011</v>
      </c>
      <c r="D470" t="inlineStr">
        <is>
          <t>VÄSTRA GÖTALANDS LÄN</t>
        </is>
      </c>
      <c r="E470" t="inlineStr">
        <is>
          <t>VÄNERSBORG</t>
        </is>
      </c>
      <c r="G470" t="n">
        <v>1.2</v>
      </c>
      <c r="H470" t="n">
        <v>1</v>
      </c>
      <c r="I470" t="n">
        <v>0</v>
      </c>
      <c r="J470" t="n">
        <v>1</v>
      </c>
      <c r="K470" t="n">
        <v>0</v>
      </c>
      <c r="L470" t="n">
        <v>0</v>
      </c>
      <c r="M470" t="n">
        <v>0</v>
      </c>
      <c r="N470" t="n">
        <v>0</v>
      </c>
      <c r="O470" t="n">
        <v>1</v>
      </c>
      <c r="P470" t="n">
        <v>0</v>
      </c>
      <c r="Q470" t="n">
        <v>1</v>
      </c>
      <c r="R470" s="2" t="inlineStr">
        <is>
          <t>Spillkråka</t>
        </is>
      </c>
      <c r="S470">
        <f>HYPERLINK("https://klasma.github.io/Logging_1487/artfynd/A 3798-2021 artfynd.xlsx", "A 3798-2021")</f>
        <v/>
      </c>
      <c r="T470">
        <f>HYPERLINK("https://klasma.github.io/Logging_1487/kartor/A 3798-2021 karta.png", "A 3798-2021")</f>
        <v/>
      </c>
      <c r="V470">
        <f>HYPERLINK("https://klasma.github.io/Logging_1487/klagomål/A 3798-2021 FSC-klagomål.docx", "A 3798-2021")</f>
        <v/>
      </c>
      <c r="W470">
        <f>HYPERLINK("https://klasma.github.io/Logging_1487/klagomålsmail/A 3798-2021 FSC-klagomål mail.docx", "A 3798-2021")</f>
        <v/>
      </c>
      <c r="X470">
        <f>HYPERLINK("https://klasma.github.io/Logging_1487/tillsyn/A 3798-2021 tillsynsbegäran.docx", "A 3798-2021")</f>
        <v/>
      </c>
      <c r="Y470">
        <f>HYPERLINK("https://klasma.github.io/Logging_1487/tillsynsmail/A 3798-2021 tillsynsbegäran mail.docx", "A 3798-2021")</f>
        <v/>
      </c>
      <c r="Z470">
        <f>HYPERLINK("https://klasma.github.io/Logging_1487/fåglar/A 3798-2021 prioriterade fågelarter.docx", "A 3798-2021")</f>
        <v/>
      </c>
    </row>
    <row r="471" ht="15" customHeight="1">
      <c r="A471" t="inlineStr">
        <is>
          <t>A 28280-2024</t>
        </is>
      </c>
      <c r="B471" s="1" t="n">
        <v>45477.46034722222</v>
      </c>
      <c r="C471" s="1" t="n">
        <v>46011</v>
      </c>
      <c r="D471" t="inlineStr">
        <is>
          <t>VÄSTRA GÖTALANDS LÄN</t>
        </is>
      </c>
      <c r="E471" t="inlineStr">
        <is>
          <t>BENGTSFORS</t>
        </is>
      </c>
      <c r="G471" t="n">
        <v>6.2</v>
      </c>
      <c r="H471" t="n">
        <v>1</v>
      </c>
      <c r="I471" t="n">
        <v>0</v>
      </c>
      <c r="J471" t="n">
        <v>0</v>
      </c>
      <c r="K471" t="n">
        <v>0</v>
      </c>
      <c r="L471" t="n">
        <v>0</v>
      </c>
      <c r="M471" t="n">
        <v>0</v>
      </c>
      <c r="N471" t="n">
        <v>0</v>
      </c>
      <c r="O471" t="n">
        <v>0</v>
      </c>
      <c r="P471" t="n">
        <v>0</v>
      </c>
      <c r="Q471" t="n">
        <v>1</v>
      </c>
      <c r="R471" s="2" t="inlineStr">
        <is>
          <t>Revlummer</t>
        </is>
      </c>
      <c r="S471">
        <f>HYPERLINK("https://klasma.github.io/Logging_1460/artfynd/A 28280-2024 artfynd.xlsx", "A 28280-2024")</f>
        <v/>
      </c>
      <c r="T471">
        <f>HYPERLINK("https://klasma.github.io/Logging_1460/kartor/A 28280-2024 karta.png", "A 28280-2024")</f>
        <v/>
      </c>
      <c r="V471">
        <f>HYPERLINK("https://klasma.github.io/Logging_1460/klagomål/A 28280-2024 FSC-klagomål.docx", "A 28280-2024")</f>
        <v/>
      </c>
      <c r="W471">
        <f>HYPERLINK("https://klasma.github.io/Logging_1460/klagomålsmail/A 28280-2024 FSC-klagomål mail.docx", "A 28280-2024")</f>
        <v/>
      </c>
      <c r="X471">
        <f>HYPERLINK("https://klasma.github.io/Logging_1460/tillsyn/A 28280-2024 tillsynsbegäran.docx", "A 28280-2024")</f>
        <v/>
      </c>
      <c r="Y471">
        <f>HYPERLINK("https://klasma.github.io/Logging_1460/tillsynsmail/A 28280-2024 tillsynsbegäran mail.docx", "A 28280-2024")</f>
        <v/>
      </c>
    </row>
    <row r="472" ht="15" customHeight="1">
      <c r="A472" t="inlineStr">
        <is>
          <t>A 25033-2025</t>
        </is>
      </c>
      <c r="B472" s="1" t="n">
        <v>45799.65584490741</v>
      </c>
      <c r="C472" s="1" t="n">
        <v>46011</v>
      </c>
      <c r="D472" t="inlineStr">
        <is>
          <t>VÄSTRA GÖTALANDS LÄN</t>
        </is>
      </c>
      <c r="E472" t="inlineStr">
        <is>
          <t>DALS-ED</t>
        </is>
      </c>
      <c r="G472" t="n">
        <v>8.6</v>
      </c>
      <c r="H472" t="n">
        <v>0</v>
      </c>
      <c r="I472" t="n">
        <v>0</v>
      </c>
      <c r="J472" t="n">
        <v>0</v>
      </c>
      <c r="K472" t="n">
        <v>0</v>
      </c>
      <c r="L472" t="n">
        <v>1</v>
      </c>
      <c r="M472" t="n">
        <v>0</v>
      </c>
      <c r="N472" t="n">
        <v>0</v>
      </c>
      <c r="O472" t="n">
        <v>1</v>
      </c>
      <c r="P472" t="n">
        <v>1</v>
      </c>
      <c r="Q472" t="n">
        <v>1</v>
      </c>
      <c r="R472" s="2" t="inlineStr">
        <is>
          <t>Ask</t>
        </is>
      </c>
      <c r="S472">
        <f>HYPERLINK("https://klasma.github.io/Logging_1438/artfynd/A 25033-2025 artfynd.xlsx", "A 25033-2025")</f>
        <v/>
      </c>
      <c r="T472">
        <f>HYPERLINK("https://klasma.github.io/Logging_1438/kartor/A 25033-2025 karta.png", "A 25033-2025")</f>
        <v/>
      </c>
      <c r="V472">
        <f>HYPERLINK("https://klasma.github.io/Logging_1438/klagomål/A 25033-2025 FSC-klagomål.docx", "A 25033-2025")</f>
        <v/>
      </c>
      <c r="W472">
        <f>HYPERLINK("https://klasma.github.io/Logging_1438/klagomålsmail/A 25033-2025 FSC-klagomål mail.docx", "A 25033-2025")</f>
        <v/>
      </c>
      <c r="X472">
        <f>HYPERLINK("https://klasma.github.io/Logging_1438/tillsyn/A 25033-2025 tillsynsbegäran.docx", "A 25033-2025")</f>
        <v/>
      </c>
      <c r="Y472">
        <f>HYPERLINK("https://klasma.github.io/Logging_1438/tillsynsmail/A 25033-2025 tillsynsbegäran mail.docx", "A 25033-2025")</f>
        <v/>
      </c>
    </row>
    <row r="473" ht="15" customHeight="1">
      <c r="A473" t="inlineStr">
        <is>
          <t>A 25432-2021</t>
        </is>
      </c>
      <c r="B473" s="1" t="n">
        <v>44342</v>
      </c>
      <c r="C473" s="1" t="n">
        <v>46011</v>
      </c>
      <c r="D473" t="inlineStr">
        <is>
          <t>VÄSTRA GÖTALANDS LÄN</t>
        </is>
      </c>
      <c r="E473" t="inlineStr">
        <is>
          <t>GULLSPÅNG</t>
        </is>
      </c>
      <c r="G473" t="n">
        <v>7.8</v>
      </c>
      <c r="H473" t="n">
        <v>0</v>
      </c>
      <c r="I473" t="n">
        <v>0</v>
      </c>
      <c r="J473" t="n">
        <v>1</v>
      </c>
      <c r="K473" t="n">
        <v>0</v>
      </c>
      <c r="L473" t="n">
        <v>0</v>
      </c>
      <c r="M473" t="n">
        <v>0</v>
      </c>
      <c r="N473" t="n">
        <v>0</v>
      </c>
      <c r="O473" t="n">
        <v>1</v>
      </c>
      <c r="P473" t="n">
        <v>0</v>
      </c>
      <c r="Q473" t="n">
        <v>1</v>
      </c>
      <c r="R473" s="2" t="inlineStr">
        <is>
          <t>Åkerrödtoppa</t>
        </is>
      </c>
      <c r="S473">
        <f>HYPERLINK("https://klasma.github.io/Logging_1447/artfynd/A 25432-2021 artfynd.xlsx", "A 25432-2021")</f>
        <v/>
      </c>
      <c r="T473">
        <f>HYPERLINK("https://klasma.github.io/Logging_1447/kartor/A 25432-2021 karta.png", "A 25432-2021")</f>
        <v/>
      </c>
      <c r="V473">
        <f>HYPERLINK("https://klasma.github.io/Logging_1447/klagomål/A 25432-2021 FSC-klagomål.docx", "A 25432-2021")</f>
        <v/>
      </c>
      <c r="W473">
        <f>HYPERLINK("https://klasma.github.io/Logging_1447/klagomålsmail/A 25432-2021 FSC-klagomål mail.docx", "A 25432-2021")</f>
        <v/>
      </c>
      <c r="X473">
        <f>HYPERLINK("https://klasma.github.io/Logging_1447/tillsyn/A 25432-2021 tillsynsbegäran.docx", "A 25432-2021")</f>
        <v/>
      </c>
      <c r="Y473">
        <f>HYPERLINK("https://klasma.github.io/Logging_1447/tillsynsmail/A 25432-2021 tillsynsbegäran mail.docx", "A 25432-2021")</f>
        <v/>
      </c>
    </row>
    <row r="474" ht="15" customHeight="1">
      <c r="A474" t="inlineStr">
        <is>
          <t>A 25249-2025</t>
        </is>
      </c>
      <c r="B474" s="1" t="n">
        <v>45800.49765046296</v>
      </c>
      <c r="C474" s="1" t="n">
        <v>46011</v>
      </c>
      <c r="D474" t="inlineStr">
        <is>
          <t>VÄSTRA GÖTALANDS LÄN</t>
        </is>
      </c>
      <c r="E474" t="inlineStr">
        <is>
          <t>TRANEMO</t>
        </is>
      </c>
      <c r="F474" t="inlineStr">
        <is>
          <t>Sveaskog</t>
        </is>
      </c>
      <c r="G474" t="n">
        <v>4.1</v>
      </c>
      <c r="H474" t="n">
        <v>1</v>
      </c>
      <c r="I474" t="n">
        <v>0</v>
      </c>
      <c r="J474" t="n">
        <v>1</v>
      </c>
      <c r="K474" t="n">
        <v>0</v>
      </c>
      <c r="L474" t="n">
        <v>0</v>
      </c>
      <c r="M474" t="n">
        <v>0</v>
      </c>
      <c r="N474" t="n">
        <v>0</v>
      </c>
      <c r="O474" t="n">
        <v>1</v>
      </c>
      <c r="P474" t="n">
        <v>0</v>
      </c>
      <c r="Q474" t="n">
        <v>1</v>
      </c>
      <c r="R474" s="2" t="inlineStr">
        <is>
          <t>Spillkråka</t>
        </is>
      </c>
      <c r="S474">
        <f>HYPERLINK("https://klasma.github.io/Logging_1452/artfynd/A 25249-2025 artfynd.xlsx", "A 25249-2025")</f>
        <v/>
      </c>
      <c r="T474">
        <f>HYPERLINK("https://klasma.github.io/Logging_1452/kartor/A 25249-2025 karta.png", "A 25249-2025")</f>
        <v/>
      </c>
      <c r="V474">
        <f>HYPERLINK("https://klasma.github.io/Logging_1452/klagomål/A 25249-2025 FSC-klagomål.docx", "A 25249-2025")</f>
        <v/>
      </c>
      <c r="W474">
        <f>HYPERLINK("https://klasma.github.io/Logging_1452/klagomålsmail/A 25249-2025 FSC-klagomål mail.docx", "A 25249-2025")</f>
        <v/>
      </c>
      <c r="X474">
        <f>HYPERLINK("https://klasma.github.io/Logging_1452/tillsyn/A 25249-2025 tillsynsbegäran.docx", "A 25249-2025")</f>
        <v/>
      </c>
      <c r="Y474">
        <f>HYPERLINK("https://klasma.github.io/Logging_1452/tillsynsmail/A 25249-2025 tillsynsbegäran mail.docx", "A 25249-2025")</f>
        <v/>
      </c>
      <c r="Z474">
        <f>HYPERLINK("https://klasma.github.io/Logging_1452/fåglar/A 25249-2025 prioriterade fågelarter.docx", "A 25249-2025")</f>
        <v/>
      </c>
    </row>
    <row r="475" ht="15" customHeight="1">
      <c r="A475" t="inlineStr">
        <is>
          <t>A 9087-2025</t>
        </is>
      </c>
      <c r="B475" s="1" t="n">
        <v>45713</v>
      </c>
      <c r="C475" s="1" t="n">
        <v>46011</v>
      </c>
      <c r="D475" t="inlineStr">
        <is>
          <t>VÄSTRA GÖTALANDS LÄN</t>
        </is>
      </c>
      <c r="E475" t="inlineStr">
        <is>
          <t>TANUM</t>
        </is>
      </c>
      <c r="G475" t="n">
        <v>11.4</v>
      </c>
      <c r="H475" t="n">
        <v>0</v>
      </c>
      <c r="I475" t="n">
        <v>0</v>
      </c>
      <c r="J475" t="n">
        <v>1</v>
      </c>
      <c r="K475" t="n">
        <v>0</v>
      </c>
      <c r="L475" t="n">
        <v>0</v>
      </c>
      <c r="M475" t="n">
        <v>0</v>
      </c>
      <c r="N475" t="n">
        <v>0</v>
      </c>
      <c r="O475" t="n">
        <v>1</v>
      </c>
      <c r="P475" t="n">
        <v>0</v>
      </c>
      <c r="Q475" t="n">
        <v>1</v>
      </c>
      <c r="R475" s="2" t="inlineStr">
        <is>
          <t>Slåtterfibbla</t>
        </is>
      </c>
      <c r="S475">
        <f>HYPERLINK("https://klasma.github.io/Logging_1435/artfynd/A 9087-2025 artfynd.xlsx", "A 9087-2025")</f>
        <v/>
      </c>
      <c r="T475">
        <f>HYPERLINK("https://klasma.github.io/Logging_1435/kartor/A 9087-2025 karta.png", "A 9087-2025")</f>
        <v/>
      </c>
      <c r="V475">
        <f>HYPERLINK("https://klasma.github.io/Logging_1435/klagomål/A 9087-2025 FSC-klagomål.docx", "A 9087-2025")</f>
        <v/>
      </c>
      <c r="W475">
        <f>HYPERLINK("https://klasma.github.io/Logging_1435/klagomålsmail/A 9087-2025 FSC-klagomål mail.docx", "A 9087-2025")</f>
        <v/>
      </c>
      <c r="X475">
        <f>HYPERLINK("https://klasma.github.io/Logging_1435/tillsyn/A 9087-2025 tillsynsbegäran.docx", "A 9087-2025")</f>
        <v/>
      </c>
      <c r="Y475">
        <f>HYPERLINK("https://klasma.github.io/Logging_1435/tillsynsmail/A 9087-2025 tillsynsbegäran mail.docx", "A 9087-2025")</f>
        <v/>
      </c>
    </row>
    <row r="476" ht="15" customHeight="1">
      <c r="A476" t="inlineStr">
        <is>
          <t>A 11214-2023</t>
        </is>
      </c>
      <c r="B476" s="1" t="n">
        <v>44992</v>
      </c>
      <c r="C476" s="1" t="n">
        <v>46011</v>
      </c>
      <c r="D476" t="inlineStr">
        <is>
          <t>VÄSTRA GÖTALANDS LÄN</t>
        </is>
      </c>
      <c r="E476" t="inlineStr">
        <is>
          <t>VÅRGÅRDA</t>
        </is>
      </c>
      <c r="G476" t="n">
        <v>1.9</v>
      </c>
      <c r="H476" t="n">
        <v>1</v>
      </c>
      <c r="I476" t="n">
        <v>0</v>
      </c>
      <c r="J476" t="n">
        <v>0</v>
      </c>
      <c r="K476" t="n">
        <v>1</v>
      </c>
      <c r="L476" t="n">
        <v>0</v>
      </c>
      <c r="M476" t="n">
        <v>0</v>
      </c>
      <c r="N476" t="n">
        <v>0</v>
      </c>
      <c r="O476" t="n">
        <v>1</v>
      </c>
      <c r="P476" t="n">
        <v>1</v>
      </c>
      <c r="Q476" t="n">
        <v>1</v>
      </c>
      <c r="R476" s="2" t="inlineStr">
        <is>
          <t>Stare</t>
        </is>
      </c>
      <c r="S476">
        <f>HYPERLINK("https://klasma.github.io/Logging_1442/artfynd/A 11214-2023 artfynd.xlsx", "A 11214-2023")</f>
        <v/>
      </c>
      <c r="T476">
        <f>HYPERLINK("https://klasma.github.io/Logging_1442/kartor/A 11214-2023 karta.png", "A 11214-2023")</f>
        <v/>
      </c>
      <c r="V476">
        <f>HYPERLINK("https://klasma.github.io/Logging_1442/klagomål/A 11214-2023 FSC-klagomål.docx", "A 11214-2023")</f>
        <v/>
      </c>
      <c r="W476">
        <f>HYPERLINK("https://klasma.github.io/Logging_1442/klagomålsmail/A 11214-2023 FSC-klagomål mail.docx", "A 11214-2023")</f>
        <v/>
      </c>
      <c r="X476">
        <f>HYPERLINK("https://klasma.github.io/Logging_1442/tillsyn/A 11214-2023 tillsynsbegäran.docx", "A 11214-2023")</f>
        <v/>
      </c>
      <c r="Y476">
        <f>HYPERLINK("https://klasma.github.io/Logging_1442/tillsynsmail/A 11214-2023 tillsynsbegäran mail.docx", "A 11214-2023")</f>
        <v/>
      </c>
    </row>
    <row r="477" ht="15" customHeight="1">
      <c r="A477" t="inlineStr">
        <is>
          <t>A 24800-2025</t>
        </is>
      </c>
      <c r="B477" s="1" t="n">
        <v>45799.43880787037</v>
      </c>
      <c r="C477" s="1" t="n">
        <v>46011</v>
      </c>
      <c r="D477" t="inlineStr">
        <is>
          <t>VÄSTRA GÖTALANDS LÄN</t>
        </is>
      </c>
      <c r="E477" t="inlineStr">
        <is>
          <t>ULRICEHAMN</t>
        </is>
      </c>
      <c r="G477" t="n">
        <v>3.3</v>
      </c>
      <c r="H477" t="n">
        <v>0</v>
      </c>
      <c r="I477" t="n">
        <v>1</v>
      </c>
      <c r="J477" t="n">
        <v>0</v>
      </c>
      <c r="K477" t="n">
        <v>0</v>
      </c>
      <c r="L477" t="n">
        <v>0</v>
      </c>
      <c r="M477" t="n">
        <v>0</v>
      </c>
      <c r="N477" t="n">
        <v>0</v>
      </c>
      <c r="O477" t="n">
        <v>0</v>
      </c>
      <c r="P477" t="n">
        <v>0</v>
      </c>
      <c r="Q477" t="n">
        <v>1</v>
      </c>
      <c r="R477" s="2" t="inlineStr">
        <is>
          <t>Björksplintborre</t>
        </is>
      </c>
      <c r="S477">
        <f>HYPERLINK("https://klasma.github.io/Logging_1491/artfynd/A 24800-2025 artfynd.xlsx", "A 24800-2025")</f>
        <v/>
      </c>
      <c r="T477">
        <f>HYPERLINK("https://klasma.github.io/Logging_1491/kartor/A 24800-2025 karta.png", "A 24800-2025")</f>
        <v/>
      </c>
      <c r="V477">
        <f>HYPERLINK("https://klasma.github.io/Logging_1491/klagomål/A 24800-2025 FSC-klagomål.docx", "A 24800-2025")</f>
        <v/>
      </c>
      <c r="W477">
        <f>HYPERLINK("https://klasma.github.io/Logging_1491/klagomålsmail/A 24800-2025 FSC-klagomål mail.docx", "A 24800-2025")</f>
        <v/>
      </c>
      <c r="X477">
        <f>HYPERLINK("https://klasma.github.io/Logging_1491/tillsyn/A 24800-2025 tillsynsbegäran.docx", "A 24800-2025")</f>
        <v/>
      </c>
      <c r="Y477">
        <f>HYPERLINK("https://klasma.github.io/Logging_1491/tillsynsmail/A 24800-2025 tillsynsbegäran mail.docx", "A 24800-2025")</f>
        <v/>
      </c>
    </row>
    <row r="478" ht="15" customHeight="1">
      <c r="A478" t="inlineStr">
        <is>
          <t>A 27871-2024</t>
        </is>
      </c>
      <c r="B478" s="1" t="n">
        <v>45475.71474537037</v>
      </c>
      <c r="C478" s="1" t="n">
        <v>46011</v>
      </c>
      <c r="D478" t="inlineStr">
        <is>
          <t>VÄSTRA GÖTALANDS LÄN</t>
        </is>
      </c>
      <c r="E478" t="inlineStr">
        <is>
          <t>DALS-ED</t>
        </is>
      </c>
      <c r="G478" t="n">
        <v>4.2</v>
      </c>
      <c r="H478" t="n">
        <v>0</v>
      </c>
      <c r="I478" t="n">
        <v>1</v>
      </c>
      <c r="J478" t="n">
        <v>0</v>
      </c>
      <c r="K478" t="n">
        <v>0</v>
      </c>
      <c r="L478" t="n">
        <v>0</v>
      </c>
      <c r="M478" t="n">
        <v>0</v>
      </c>
      <c r="N478" t="n">
        <v>0</v>
      </c>
      <c r="O478" t="n">
        <v>0</v>
      </c>
      <c r="P478" t="n">
        <v>0</v>
      </c>
      <c r="Q478" t="n">
        <v>1</v>
      </c>
      <c r="R478" s="2" t="inlineStr">
        <is>
          <t>Dropptaggsvamp</t>
        </is>
      </c>
      <c r="S478">
        <f>HYPERLINK("https://klasma.github.io/Logging_1438/artfynd/A 27871-2024 artfynd.xlsx", "A 27871-2024")</f>
        <v/>
      </c>
      <c r="T478">
        <f>HYPERLINK("https://klasma.github.io/Logging_1438/kartor/A 27871-2024 karta.png", "A 27871-2024")</f>
        <v/>
      </c>
      <c r="V478">
        <f>HYPERLINK("https://klasma.github.io/Logging_1438/klagomål/A 27871-2024 FSC-klagomål.docx", "A 27871-2024")</f>
        <v/>
      </c>
      <c r="W478">
        <f>HYPERLINK("https://klasma.github.io/Logging_1438/klagomålsmail/A 27871-2024 FSC-klagomål mail.docx", "A 27871-2024")</f>
        <v/>
      </c>
      <c r="X478">
        <f>HYPERLINK("https://klasma.github.io/Logging_1438/tillsyn/A 27871-2024 tillsynsbegäran.docx", "A 27871-2024")</f>
        <v/>
      </c>
      <c r="Y478">
        <f>HYPERLINK("https://klasma.github.io/Logging_1438/tillsynsmail/A 27871-2024 tillsynsbegäran mail.docx", "A 27871-2024")</f>
        <v/>
      </c>
    </row>
    <row r="479" ht="15" customHeight="1">
      <c r="A479" t="inlineStr">
        <is>
          <t>A 25638-2025</t>
        </is>
      </c>
      <c r="B479" s="1" t="n">
        <v>45803.59976851852</v>
      </c>
      <c r="C479" s="1" t="n">
        <v>46011</v>
      </c>
      <c r="D479" t="inlineStr">
        <is>
          <t>VÄSTRA GÖTALANDS LÄN</t>
        </is>
      </c>
      <c r="E479" t="inlineStr">
        <is>
          <t>DALS-ED</t>
        </is>
      </c>
      <c r="G479" t="n">
        <v>1.2</v>
      </c>
      <c r="H479" t="n">
        <v>1</v>
      </c>
      <c r="I479" t="n">
        <v>0</v>
      </c>
      <c r="J479" t="n">
        <v>0</v>
      </c>
      <c r="K479" t="n">
        <v>0</v>
      </c>
      <c r="L479" t="n">
        <v>0</v>
      </c>
      <c r="M479" t="n">
        <v>0</v>
      </c>
      <c r="N479" t="n">
        <v>0</v>
      </c>
      <c r="O479" t="n">
        <v>0</v>
      </c>
      <c r="P479" t="n">
        <v>0</v>
      </c>
      <c r="Q479" t="n">
        <v>1</v>
      </c>
      <c r="R479" s="2" t="inlineStr">
        <is>
          <t>Nattskärra</t>
        </is>
      </c>
      <c r="S479">
        <f>HYPERLINK("https://klasma.github.io/Logging_1438/artfynd/A 25638-2025 artfynd.xlsx", "A 25638-2025")</f>
        <v/>
      </c>
      <c r="T479">
        <f>HYPERLINK("https://klasma.github.io/Logging_1438/kartor/A 25638-2025 karta.png", "A 25638-2025")</f>
        <v/>
      </c>
      <c r="V479">
        <f>HYPERLINK("https://klasma.github.io/Logging_1438/klagomål/A 25638-2025 FSC-klagomål.docx", "A 25638-2025")</f>
        <v/>
      </c>
      <c r="W479">
        <f>HYPERLINK("https://klasma.github.io/Logging_1438/klagomålsmail/A 25638-2025 FSC-klagomål mail.docx", "A 25638-2025")</f>
        <v/>
      </c>
      <c r="X479">
        <f>HYPERLINK("https://klasma.github.io/Logging_1438/tillsyn/A 25638-2025 tillsynsbegäran.docx", "A 25638-2025")</f>
        <v/>
      </c>
      <c r="Y479">
        <f>HYPERLINK("https://klasma.github.io/Logging_1438/tillsynsmail/A 25638-2025 tillsynsbegäran mail.docx", "A 25638-2025")</f>
        <v/>
      </c>
      <c r="Z479">
        <f>HYPERLINK("https://klasma.github.io/Logging_1438/fåglar/A 25638-2025 prioriterade fågelarter.docx", "A 25638-2025")</f>
        <v/>
      </c>
    </row>
    <row r="480" ht="15" customHeight="1">
      <c r="A480" t="inlineStr">
        <is>
          <t>A 25789-2021</t>
        </is>
      </c>
      <c r="B480" s="1" t="n">
        <v>44343.8302662037</v>
      </c>
      <c r="C480" s="1" t="n">
        <v>46011</v>
      </c>
      <c r="D480" t="inlineStr">
        <is>
          <t>VÄSTRA GÖTALANDS LÄN</t>
        </is>
      </c>
      <c r="E480" t="inlineStr">
        <is>
          <t>LYSEKIL</t>
        </is>
      </c>
      <c r="G480" t="n">
        <v>2.2</v>
      </c>
      <c r="H480" t="n">
        <v>0</v>
      </c>
      <c r="I480" t="n">
        <v>0</v>
      </c>
      <c r="J480" t="n">
        <v>1</v>
      </c>
      <c r="K480" t="n">
        <v>0</v>
      </c>
      <c r="L480" t="n">
        <v>0</v>
      </c>
      <c r="M480" t="n">
        <v>0</v>
      </c>
      <c r="N480" t="n">
        <v>0</v>
      </c>
      <c r="O480" t="n">
        <v>1</v>
      </c>
      <c r="P480" t="n">
        <v>0</v>
      </c>
      <c r="Q480" t="n">
        <v>1</v>
      </c>
      <c r="R480" s="2" t="inlineStr">
        <is>
          <t>Gullklöver</t>
        </is>
      </c>
      <c r="S480">
        <f>HYPERLINK("https://klasma.github.io/Logging_1484/artfynd/A 25789-2021 artfynd.xlsx", "A 25789-2021")</f>
        <v/>
      </c>
      <c r="T480">
        <f>HYPERLINK("https://klasma.github.io/Logging_1484/kartor/A 25789-2021 karta.png", "A 25789-2021")</f>
        <v/>
      </c>
      <c r="V480">
        <f>HYPERLINK("https://klasma.github.io/Logging_1484/klagomål/A 25789-2021 FSC-klagomål.docx", "A 25789-2021")</f>
        <v/>
      </c>
      <c r="W480">
        <f>HYPERLINK("https://klasma.github.io/Logging_1484/klagomålsmail/A 25789-2021 FSC-klagomål mail.docx", "A 25789-2021")</f>
        <v/>
      </c>
      <c r="X480">
        <f>HYPERLINK("https://klasma.github.io/Logging_1484/tillsyn/A 25789-2021 tillsynsbegäran.docx", "A 25789-2021")</f>
        <v/>
      </c>
      <c r="Y480">
        <f>HYPERLINK("https://klasma.github.io/Logging_1484/tillsynsmail/A 25789-2021 tillsynsbegäran mail.docx", "A 25789-2021")</f>
        <v/>
      </c>
    </row>
    <row r="481" ht="15" customHeight="1">
      <c r="A481" t="inlineStr">
        <is>
          <t>A 58626-2024</t>
        </is>
      </c>
      <c r="B481" s="1" t="n">
        <v>45635</v>
      </c>
      <c r="C481" s="1" t="n">
        <v>46011</v>
      </c>
      <c r="D481" t="inlineStr">
        <is>
          <t>VÄSTRA GÖTALANDS LÄN</t>
        </is>
      </c>
      <c r="E481" t="inlineStr">
        <is>
          <t>UDDEVALLA</t>
        </is>
      </c>
      <c r="G481" t="n">
        <v>1.1</v>
      </c>
      <c r="H481" t="n">
        <v>0</v>
      </c>
      <c r="I481" t="n">
        <v>1</v>
      </c>
      <c r="J481" t="n">
        <v>0</v>
      </c>
      <c r="K481" t="n">
        <v>0</v>
      </c>
      <c r="L481" t="n">
        <v>0</v>
      </c>
      <c r="M481" t="n">
        <v>0</v>
      </c>
      <c r="N481" t="n">
        <v>0</v>
      </c>
      <c r="O481" t="n">
        <v>0</v>
      </c>
      <c r="P481" t="n">
        <v>0</v>
      </c>
      <c r="Q481" t="n">
        <v>1</v>
      </c>
      <c r="R481" s="2" t="inlineStr">
        <is>
          <t>Lundvårlök</t>
        </is>
      </c>
      <c r="S481">
        <f>HYPERLINK("https://klasma.github.io/Logging_1485/artfynd/A 58626-2024 artfynd.xlsx", "A 58626-2024")</f>
        <v/>
      </c>
      <c r="T481">
        <f>HYPERLINK("https://klasma.github.io/Logging_1485/kartor/A 58626-2024 karta.png", "A 58626-2024")</f>
        <v/>
      </c>
      <c r="V481">
        <f>HYPERLINK("https://klasma.github.io/Logging_1485/klagomål/A 58626-2024 FSC-klagomål.docx", "A 58626-2024")</f>
        <v/>
      </c>
      <c r="W481">
        <f>HYPERLINK("https://klasma.github.io/Logging_1485/klagomålsmail/A 58626-2024 FSC-klagomål mail.docx", "A 58626-2024")</f>
        <v/>
      </c>
      <c r="X481">
        <f>HYPERLINK("https://klasma.github.io/Logging_1485/tillsyn/A 58626-2024 tillsynsbegäran.docx", "A 58626-2024")</f>
        <v/>
      </c>
      <c r="Y481">
        <f>HYPERLINK("https://klasma.github.io/Logging_1485/tillsynsmail/A 58626-2024 tillsynsbegäran mail.docx", "A 58626-2024")</f>
        <v/>
      </c>
    </row>
    <row r="482" ht="15" customHeight="1">
      <c r="A482" t="inlineStr">
        <is>
          <t>A 58632-2024</t>
        </is>
      </c>
      <c r="B482" s="1" t="n">
        <v>45635.57728009259</v>
      </c>
      <c r="C482" s="1" t="n">
        <v>46011</v>
      </c>
      <c r="D482" t="inlineStr">
        <is>
          <t>VÄSTRA GÖTALANDS LÄN</t>
        </is>
      </c>
      <c r="E482" t="inlineStr">
        <is>
          <t>ÅMÅL</t>
        </is>
      </c>
      <c r="G482" t="n">
        <v>1.9</v>
      </c>
      <c r="H482" t="n">
        <v>1</v>
      </c>
      <c r="I482" t="n">
        <v>1</v>
      </c>
      <c r="J482" t="n">
        <v>0</v>
      </c>
      <c r="K482" t="n">
        <v>0</v>
      </c>
      <c r="L482" t="n">
        <v>0</v>
      </c>
      <c r="M482" t="n">
        <v>0</v>
      </c>
      <c r="N482" t="n">
        <v>0</v>
      </c>
      <c r="O482" t="n">
        <v>0</v>
      </c>
      <c r="P482" t="n">
        <v>0</v>
      </c>
      <c r="Q482" t="n">
        <v>1</v>
      </c>
      <c r="R482" s="2" t="inlineStr">
        <is>
          <t>Skogsknipprot</t>
        </is>
      </c>
      <c r="S482">
        <f>HYPERLINK("https://klasma.github.io/Logging_1492/artfynd/A 58632-2024 artfynd.xlsx", "A 58632-2024")</f>
        <v/>
      </c>
      <c r="T482">
        <f>HYPERLINK("https://klasma.github.io/Logging_1492/kartor/A 58632-2024 karta.png", "A 58632-2024")</f>
        <v/>
      </c>
      <c r="V482">
        <f>HYPERLINK("https://klasma.github.io/Logging_1492/klagomål/A 58632-2024 FSC-klagomål.docx", "A 58632-2024")</f>
        <v/>
      </c>
      <c r="W482">
        <f>HYPERLINK("https://klasma.github.io/Logging_1492/klagomålsmail/A 58632-2024 FSC-klagomål mail.docx", "A 58632-2024")</f>
        <v/>
      </c>
      <c r="X482">
        <f>HYPERLINK("https://klasma.github.io/Logging_1492/tillsyn/A 58632-2024 tillsynsbegäran.docx", "A 58632-2024")</f>
        <v/>
      </c>
      <c r="Y482">
        <f>HYPERLINK("https://klasma.github.io/Logging_1492/tillsynsmail/A 58632-2024 tillsynsbegäran mail.docx", "A 58632-2024")</f>
        <v/>
      </c>
    </row>
    <row r="483" ht="15" customHeight="1">
      <c r="A483" t="inlineStr">
        <is>
          <t>A 25936-2025</t>
        </is>
      </c>
      <c r="B483" s="1" t="n">
        <v>45804.59222222222</v>
      </c>
      <c r="C483" s="1" t="n">
        <v>46011</v>
      </c>
      <c r="D483" t="inlineStr">
        <is>
          <t>VÄSTRA GÖTALANDS LÄN</t>
        </is>
      </c>
      <c r="E483" t="inlineStr">
        <is>
          <t>SKÖVDE</t>
        </is>
      </c>
      <c r="G483" t="n">
        <v>3.3</v>
      </c>
      <c r="H483" t="n">
        <v>0</v>
      </c>
      <c r="I483" t="n">
        <v>1</v>
      </c>
      <c r="J483" t="n">
        <v>0</v>
      </c>
      <c r="K483" t="n">
        <v>0</v>
      </c>
      <c r="L483" t="n">
        <v>0</v>
      </c>
      <c r="M483" t="n">
        <v>0</v>
      </c>
      <c r="N483" t="n">
        <v>0</v>
      </c>
      <c r="O483" t="n">
        <v>0</v>
      </c>
      <c r="P483" t="n">
        <v>0</v>
      </c>
      <c r="Q483" t="n">
        <v>1</v>
      </c>
      <c r="R483" s="2" t="inlineStr">
        <is>
          <t>Blodticka</t>
        </is>
      </c>
      <c r="S483">
        <f>HYPERLINK("https://klasma.github.io/Logging_1496/artfynd/A 25936-2025 artfynd.xlsx", "A 25936-2025")</f>
        <v/>
      </c>
      <c r="T483">
        <f>HYPERLINK("https://klasma.github.io/Logging_1496/kartor/A 25936-2025 karta.png", "A 25936-2025")</f>
        <v/>
      </c>
      <c r="V483">
        <f>HYPERLINK("https://klasma.github.io/Logging_1496/klagomål/A 25936-2025 FSC-klagomål.docx", "A 25936-2025")</f>
        <v/>
      </c>
      <c r="W483">
        <f>HYPERLINK("https://klasma.github.io/Logging_1496/klagomålsmail/A 25936-2025 FSC-klagomål mail.docx", "A 25936-2025")</f>
        <v/>
      </c>
      <c r="X483">
        <f>HYPERLINK("https://klasma.github.io/Logging_1496/tillsyn/A 25936-2025 tillsynsbegäran.docx", "A 25936-2025")</f>
        <v/>
      </c>
      <c r="Y483">
        <f>HYPERLINK("https://klasma.github.io/Logging_1496/tillsynsmail/A 25936-2025 tillsynsbegäran mail.docx", "A 25936-2025")</f>
        <v/>
      </c>
    </row>
    <row r="484" ht="15" customHeight="1">
      <c r="A484" t="inlineStr">
        <is>
          <t>A 12413-2023</t>
        </is>
      </c>
      <c r="B484" s="1" t="n">
        <v>44999.52065972222</v>
      </c>
      <c r="C484" s="1" t="n">
        <v>46011</v>
      </c>
      <c r="D484" t="inlineStr">
        <is>
          <t>VÄSTRA GÖTALANDS LÄN</t>
        </is>
      </c>
      <c r="E484" t="inlineStr">
        <is>
          <t>ÅMÅL</t>
        </is>
      </c>
      <c r="G484" t="n">
        <v>2</v>
      </c>
      <c r="H484" t="n">
        <v>0</v>
      </c>
      <c r="I484" t="n">
        <v>1</v>
      </c>
      <c r="J484" t="n">
        <v>0</v>
      </c>
      <c r="K484" t="n">
        <v>0</v>
      </c>
      <c r="L484" t="n">
        <v>0</v>
      </c>
      <c r="M484" t="n">
        <v>0</v>
      </c>
      <c r="N484" t="n">
        <v>0</v>
      </c>
      <c r="O484" t="n">
        <v>0</v>
      </c>
      <c r="P484" t="n">
        <v>0</v>
      </c>
      <c r="Q484" t="n">
        <v>1</v>
      </c>
      <c r="R484" s="2" t="inlineStr">
        <is>
          <t>Bronshjon</t>
        </is>
      </c>
      <c r="S484">
        <f>HYPERLINK("https://klasma.github.io/Logging_1492/artfynd/A 12413-2023 artfynd.xlsx", "A 12413-2023")</f>
        <v/>
      </c>
      <c r="T484">
        <f>HYPERLINK("https://klasma.github.io/Logging_1492/kartor/A 12413-2023 karta.png", "A 12413-2023")</f>
        <v/>
      </c>
      <c r="V484">
        <f>HYPERLINK("https://klasma.github.io/Logging_1492/klagomål/A 12413-2023 FSC-klagomål.docx", "A 12413-2023")</f>
        <v/>
      </c>
      <c r="W484">
        <f>HYPERLINK("https://klasma.github.io/Logging_1492/klagomålsmail/A 12413-2023 FSC-klagomål mail.docx", "A 12413-2023")</f>
        <v/>
      </c>
      <c r="X484">
        <f>HYPERLINK("https://klasma.github.io/Logging_1492/tillsyn/A 12413-2023 tillsynsbegäran.docx", "A 12413-2023")</f>
        <v/>
      </c>
      <c r="Y484">
        <f>HYPERLINK("https://klasma.github.io/Logging_1492/tillsynsmail/A 12413-2023 tillsynsbegäran mail.docx", "A 12413-2023")</f>
        <v/>
      </c>
    </row>
    <row r="485" ht="15" customHeight="1">
      <c r="A485" t="inlineStr">
        <is>
          <t>A 23151-2022</t>
        </is>
      </c>
      <c r="B485" s="1" t="n">
        <v>44719</v>
      </c>
      <c r="C485" s="1" t="n">
        <v>46011</v>
      </c>
      <c r="D485" t="inlineStr">
        <is>
          <t>VÄSTRA GÖTALANDS LÄN</t>
        </is>
      </c>
      <c r="E485" t="inlineStr">
        <is>
          <t>TANUM</t>
        </is>
      </c>
      <c r="G485" t="n">
        <v>4</v>
      </c>
      <c r="H485" t="n">
        <v>1</v>
      </c>
      <c r="I485" t="n">
        <v>0</v>
      </c>
      <c r="J485" t="n">
        <v>0</v>
      </c>
      <c r="K485" t="n">
        <v>0</v>
      </c>
      <c r="L485" t="n">
        <v>0</v>
      </c>
      <c r="M485" t="n">
        <v>0</v>
      </c>
      <c r="N485" t="n">
        <v>0</v>
      </c>
      <c r="O485" t="n">
        <v>0</v>
      </c>
      <c r="P485" t="n">
        <v>0</v>
      </c>
      <c r="Q485" t="n">
        <v>1</v>
      </c>
      <c r="R485" s="2" t="inlineStr">
        <is>
          <t>Blåsippa</t>
        </is>
      </c>
      <c r="S485">
        <f>HYPERLINK("https://klasma.github.io/Logging_1435/artfynd/A 23151-2022 artfynd.xlsx", "A 23151-2022")</f>
        <v/>
      </c>
      <c r="T485">
        <f>HYPERLINK("https://klasma.github.io/Logging_1435/kartor/A 23151-2022 karta.png", "A 23151-2022")</f>
        <v/>
      </c>
      <c r="V485">
        <f>HYPERLINK("https://klasma.github.io/Logging_1435/klagomål/A 23151-2022 FSC-klagomål.docx", "A 23151-2022")</f>
        <v/>
      </c>
      <c r="W485">
        <f>HYPERLINK("https://klasma.github.io/Logging_1435/klagomålsmail/A 23151-2022 FSC-klagomål mail.docx", "A 23151-2022")</f>
        <v/>
      </c>
      <c r="X485">
        <f>HYPERLINK("https://klasma.github.io/Logging_1435/tillsyn/A 23151-2022 tillsynsbegäran.docx", "A 23151-2022")</f>
        <v/>
      </c>
      <c r="Y485">
        <f>HYPERLINK("https://klasma.github.io/Logging_1435/tillsynsmail/A 23151-2022 tillsynsbegäran mail.docx", "A 23151-2022")</f>
        <v/>
      </c>
    </row>
    <row r="486" ht="15" customHeight="1">
      <c r="A486" t="inlineStr">
        <is>
          <t>A 6160-2023</t>
        </is>
      </c>
      <c r="B486" s="1" t="n">
        <v>44964</v>
      </c>
      <c r="C486" s="1" t="n">
        <v>46011</v>
      </c>
      <c r="D486" t="inlineStr">
        <is>
          <t>VÄSTRA GÖTALANDS LÄN</t>
        </is>
      </c>
      <c r="E486" t="inlineStr">
        <is>
          <t>TÖREBODA</t>
        </is>
      </c>
      <c r="G486" t="n">
        <v>1.6</v>
      </c>
      <c r="H486" t="n">
        <v>1</v>
      </c>
      <c r="I486" t="n">
        <v>0</v>
      </c>
      <c r="J486" t="n">
        <v>1</v>
      </c>
      <c r="K486" t="n">
        <v>0</v>
      </c>
      <c r="L486" t="n">
        <v>0</v>
      </c>
      <c r="M486" t="n">
        <v>0</v>
      </c>
      <c r="N486" t="n">
        <v>0</v>
      </c>
      <c r="O486" t="n">
        <v>1</v>
      </c>
      <c r="P486" t="n">
        <v>0</v>
      </c>
      <c r="Q486" t="n">
        <v>1</v>
      </c>
      <c r="R486" s="2" t="inlineStr">
        <is>
          <t>Havsörn</t>
        </is>
      </c>
      <c r="S486">
        <f>HYPERLINK("https://klasma.github.io/Logging_1473/artfynd/A 6160-2023 artfynd.xlsx", "A 6160-2023")</f>
        <v/>
      </c>
      <c r="T486">
        <f>HYPERLINK("https://klasma.github.io/Logging_1473/kartor/A 6160-2023 karta.png", "A 6160-2023")</f>
        <v/>
      </c>
      <c r="V486">
        <f>HYPERLINK("https://klasma.github.io/Logging_1473/klagomål/A 6160-2023 FSC-klagomål.docx", "A 6160-2023")</f>
        <v/>
      </c>
      <c r="W486">
        <f>HYPERLINK("https://klasma.github.io/Logging_1473/klagomålsmail/A 6160-2023 FSC-klagomål mail.docx", "A 6160-2023")</f>
        <v/>
      </c>
      <c r="X486">
        <f>HYPERLINK("https://klasma.github.io/Logging_1473/tillsyn/A 6160-2023 tillsynsbegäran.docx", "A 6160-2023")</f>
        <v/>
      </c>
      <c r="Y486">
        <f>HYPERLINK("https://klasma.github.io/Logging_1473/tillsynsmail/A 6160-2023 tillsynsbegäran mail.docx", "A 6160-2023")</f>
        <v/>
      </c>
      <c r="Z486">
        <f>HYPERLINK("https://klasma.github.io/Logging_1473/fåglar/A 6160-2023 prioriterade fågelarter.docx", "A 6160-2023")</f>
        <v/>
      </c>
    </row>
    <row r="487" ht="15" customHeight="1">
      <c r="A487" t="inlineStr">
        <is>
          <t>A 9934-2023</t>
        </is>
      </c>
      <c r="B487" s="1" t="n">
        <v>44978</v>
      </c>
      <c r="C487" s="1" t="n">
        <v>46011</v>
      </c>
      <c r="D487" t="inlineStr">
        <is>
          <t>VÄSTRA GÖTALANDS LÄN</t>
        </is>
      </c>
      <c r="E487" t="inlineStr">
        <is>
          <t>MUNKEDAL</t>
        </is>
      </c>
      <c r="G487" t="n">
        <v>2</v>
      </c>
      <c r="H487" t="n">
        <v>1</v>
      </c>
      <c r="I487" t="n">
        <v>0</v>
      </c>
      <c r="J487" t="n">
        <v>1</v>
      </c>
      <c r="K487" t="n">
        <v>0</v>
      </c>
      <c r="L487" t="n">
        <v>0</v>
      </c>
      <c r="M487" t="n">
        <v>0</v>
      </c>
      <c r="N487" t="n">
        <v>0</v>
      </c>
      <c r="O487" t="n">
        <v>1</v>
      </c>
      <c r="P487" t="n">
        <v>0</v>
      </c>
      <c r="Q487" t="n">
        <v>1</v>
      </c>
      <c r="R487" s="2" t="inlineStr">
        <is>
          <t>Spillkråka</t>
        </is>
      </c>
      <c r="S487">
        <f>HYPERLINK("https://klasma.github.io/Logging_1430/artfynd/A 9934-2023 artfynd.xlsx", "A 9934-2023")</f>
        <v/>
      </c>
      <c r="T487">
        <f>HYPERLINK("https://klasma.github.io/Logging_1430/kartor/A 9934-2023 karta.png", "A 9934-2023")</f>
        <v/>
      </c>
      <c r="V487">
        <f>HYPERLINK("https://klasma.github.io/Logging_1430/klagomål/A 9934-2023 FSC-klagomål.docx", "A 9934-2023")</f>
        <v/>
      </c>
      <c r="W487">
        <f>HYPERLINK("https://klasma.github.io/Logging_1430/klagomålsmail/A 9934-2023 FSC-klagomål mail.docx", "A 9934-2023")</f>
        <v/>
      </c>
      <c r="X487">
        <f>HYPERLINK("https://klasma.github.io/Logging_1430/tillsyn/A 9934-2023 tillsynsbegäran.docx", "A 9934-2023")</f>
        <v/>
      </c>
      <c r="Y487">
        <f>HYPERLINK("https://klasma.github.io/Logging_1430/tillsynsmail/A 9934-2023 tillsynsbegäran mail.docx", "A 9934-2023")</f>
        <v/>
      </c>
      <c r="Z487">
        <f>HYPERLINK("https://klasma.github.io/Logging_1430/fåglar/A 9934-2023 prioriterade fågelarter.docx", "A 9934-2023")</f>
        <v/>
      </c>
    </row>
    <row r="488" ht="15" customHeight="1">
      <c r="A488" t="inlineStr">
        <is>
          <t>A 393-2025</t>
        </is>
      </c>
      <c r="B488" s="1" t="n">
        <v>45663</v>
      </c>
      <c r="C488" s="1" t="n">
        <v>46011</v>
      </c>
      <c r="D488" t="inlineStr">
        <is>
          <t>VÄSTRA GÖTALANDS LÄN</t>
        </is>
      </c>
      <c r="E488" t="inlineStr">
        <is>
          <t>MÖLNDAL</t>
        </is>
      </c>
      <c r="G488" t="n">
        <v>5.1</v>
      </c>
      <c r="H488" t="n">
        <v>1</v>
      </c>
      <c r="I488" t="n">
        <v>0</v>
      </c>
      <c r="J488" t="n">
        <v>1</v>
      </c>
      <c r="K488" t="n">
        <v>0</v>
      </c>
      <c r="L488" t="n">
        <v>0</v>
      </c>
      <c r="M488" t="n">
        <v>0</v>
      </c>
      <c r="N488" t="n">
        <v>0</v>
      </c>
      <c r="O488" t="n">
        <v>1</v>
      </c>
      <c r="P488" t="n">
        <v>0</v>
      </c>
      <c r="Q488" t="n">
        <v>1</v>
      </c>
      <c r="R488" s="2" t="inlineStr">
        <is>
          <t>Spillkråka</t>
        </is>
      </c>
      <c r="S488">
        <f>HYPERLINK("https://klasma.github.io/Logging_1481/artfynd/A 393-2025 artfynd.xlsx", "A 393-2025")</f>
        <v/>
      </c>
      <c r="T488">
        <f>HYPERLINK("https://klasma.github.io/Logging_1481/kartor/A 393-2025 karta.png", "A 393-2025")</f>
        <v/>
      </c>
      <c r="V488">
        <f>HYPERLINK("https://klasma.github.io/Logging_1481/klagomål/A 393-2025 FSC-klagomål.docx", "A 393-2025")</f>
        <v/>
      </c>
      <c r="W488">
        <f>HYPERLINK("https://klasma.github.io/Logging_1481/klagomålsmail/A 393-2025 FSC-klagomål mail.docx", "A 393-2025")</f>
        <v/>
      </c>
      <c r="X488">
        <f>HYPERLINK("https://klasma.github.io/Logging_1481/tillsyn/A 393-2025 tillsynsbegäran.docx", "A 393-2025")</f>
        <v/>
      </c>
      <c r="Y488">
        <f>HYPERLINK("https://klasma.github.io/Logging_1481/tillsynsmail/A 393-2025 tillsynsbegäran mail.docx", "A 393-2025")</f>
        <v/>
      </c>
      <c r="Z488">
        <f>HYPERLINK("https://klasma.github.io/Logging_1481/fåglar/A 393-2025 prioriterade fågelarter.docx", "A 393-2025")</f>
        <v/>
      </c>
    </row>
    <row r="489" ht="15" customHeight="1">
      <c r="A489" t="inlineStr">
        <is>
          <t>A 31071-2024</t>
        </is>
      </c>
      <c r="B489" s="1" t="n">
        <v>45502</v>
      </c>
      <c r="C489" s="1" t="n">
        <v>46011</v>
      </c>
      <c r="D489" t="inlineStr">
        <is>
          <t>VÄSTRA GÖTALANDS LÄN</t>
        </is>
      </c>
      <c r="E489" t="inlineStr">
        <is>
          <t>FALKÖPING</t>
        </is>
      </c>
      <c r="G489" t="n">
        <v>1.6</v>
      </c>
      <c r="H489" t="n">
        <v>0</v>
      </c>
      <c r="I489" t="n">
        <v>0</v>
      </c>
      <c r="J489" t="n">
        <v>0</v>
      </c>
      <c r="K489" t="n">
        <v>0</v>
      </c>
      <c r="L489" t="n">
        <v>1</v>
      </c>
      <c r="M489" t="n">
        <v>0</v>
      </c>
      <c r="N489" t="n">
        <v>0</v>
      </c>
      <c r="O489" t="n">
        <v>1</v>
      </c>
      <c r="P489" t="n">
        <v>1</v>
      </c>
      <c r="Q489" t="n">
        <v>1</v>
      </c>
      <c r="R489" s="2" t="inlineStr">
        <is>
          <t>Ask</t>
        </is>
      </c>
      <c r="S489">
        <f>HYPERLINK("https://klasma.github.io/Logging_1499/artfynd/A 31071-2024 artfynd.xlsx", "A 31071-2024")</f>
        <v/>
      </c>
      <c r="T489">
        <f>HYPERLINK("https://klasma.github.io/Logging_1499/kartor/A 31071-2024 karta.png", "A 31071-2024")</f>
        <v/>
      </c>
      <c r="V489">
        <f>HYPERLINK("https://klasma.github.io/Logging_1499/klagomål/A 31071-2024 FSC-klagomål.docx", "A 31071-2024")</f>
        <v/>
      </c>
      <c r="W489">
        <f>HYPERLINK("https://klasma.github.io/Logging_1499/klagomålsmail/A 31071-2024 FSC-klagomål mail.docx", "A 31071-2024")</f>
        <v/>
      </c>
      <c r="X489">
        <f>HYPERLINK("https://klasma.github.io/Logging_1499/tillsyn/A 31071-2024 tillsynsbegäran.docx", "A 31071-2024")</f>
        <v/>
      </c>
      <c r="Y489">
        <f>HYPERLINK("https://klasma.github.io/Logging_1499/tillsynsmail/A 31071-2024 tillsynsbegäran mail.docx", "A 31071-2024")</f>
        <v/>
      </c>
    </row>
    <row r="490" ht="15" customHeight="1">
      <c r="A490" t="inlineStr">
        <is>
          <t>A 9277-2023</t>
        </is>
      </c>
      <c r="B490" s="1" t="n">
        <v>44980</v>
      </c>
      <c r="C490" s="1" t="n">
        <v>46011</v>
      </c>
      <c r="D490" t="inlineStr">
        <is>
          <t>VÄSTRA GÖTALANDS LÄN</t>
        </is>
      </c>
      <c r="E490" t="inlineStr">
        <is>
          <t>SKARA</t>
        </is>
      </c>
      <c r="G490" t="n">
        <v>1.3</v>
      </c>
      <c r="H490" t="n">
        <v>1</v>
      </c>
      <c r="I490" t="n">
        <v>0</v>
      </c>
      <c r="J490" t="n">
        <v>0</v>
      </c>
      <c r="K490" t="n">
        <v>0</v>
      </c>
      <c r="L490" t="n">
        <v>0</v>
      </c>
      <c r="M490" t="n">
        <v>0</v>
      </c>
      <c r="N490" t="n">
        <v>0</v>
      </c>
      <c r="O490" t="n">
        <v>0</v>
      </c>
      <c r="P490" t="n">
        <v>0</v>
      </c>
      <c r="Q490" t="n">
        <v>1</v>
      </c>
      <c r="R490" s="2" t="inlineStr">
        <is>
          <t>Grönvit nattviol</t>
        </is>
      </c>
      <c r="S490">
        <f>HYPERLINK("https://klasma.github.io/Logging_1495/artfynd/A 9277-2023 artfynd.xlsx", "A 9277-2023")</f>
        <v/>
      </c>
      <c r="T490">
        <f>HYPERLINK("https://klasma.github.io/Logging_1495/kartor/A 9277-2023 karta.png", "A 9277-2023")</f>
        <v/>
      </c>
      <c r="V490">
        <f>HYPERLINK("https://klasma.github.io/Logging_1495/klagomål/A 9277-2023 FSC-klagomål.docx", "A 9277-2023")</f>
        <v/>
      </c>
      <c r="W490">
        <f>HYPERLINK("https://klasma.github.io/Logging_1495/klagomålsmail/A 9277-2023 FSC-klagomål mail.docx", "A 9277-2023")</f>
        <v/>
      </c>
      <c r="X490">
        <f>HYPERLINK("https://klasma.github.io/Logging_1495/tillsyn/A 9277-2023 tillsynsbegäran.docx", "A 9277-2023")</f>
        <v/>
      </c>
      <c r="Y490">
        <f>HYPERLINK("https://klasma.github.io/Logging_1495/tillsynsmail/A 9277-2023 tillsynsbegäran mail.docx", "A 9277-2023")</f>
        <v/>
      </c>
    </row>
    <row r="491" ht="15" customHeight="1">
      <c r="A491" t="inlineStr">
        <is>
          <t>A 53397-2022</t>
        </is>
      </c>
      <c r="B491" s="1" t="n">
        <v>44879</v>
      </c>
      <c r="C491" s="1" t="n">
        <v>46011</v>
      </c>
      <c r="D491" t="inlineStr">
        <is>
          <t>VÄSTRA GÖTALANDS LÄN</t>
        </is>
      </c>
      <c r="E491" t="inlineStr">
        <is>
          <t>TANUM</t>
        </is>
      </c>
      <c r="G491" t="n">
        <v>7.4</v>
      </c>
      <c r="H491" t="n">
        <v>1</v>
      </c>
      <c r="I491" t="n">
        <v>0</v>
      </c>
      <c r="J491" t="n">
        <v>1</v>
      </c>
      <c r="K491" t="n">
        <v>0</v>
      </c>
      <c r="L491" t="n">
        <v>0</v>
      </c>
      <c r="M491" t="n">
        <v>0</v>
      </c>
      <c r="N491" t="n">
        <v>0</v>
      </c>
      <c r="O491" t="n">
        <v>1</v>
      </c>
      <c r="P491" t="n">
        <v>0</v>
      </c>
      <c r="Q491" t="n">
        <v>1</v>
      </c>
      <c r="R491" s="2" t="inlineStr">
        <is>
          <t>Tretåig hackspett</t>
        </is>
      </c>
      <c r="S491">
        <f>HYPERLINK("https://klasma.github.io/Logging_1435/artfynd/A 53397-2022 artfynd.xlsx", "A 53397-2022")</f>
        <v/>
      </c>
      <c r="T491">
        <f>HYPERLINK("https://klasma.github.io/Logging_1435/kartor/A 53397-2022 karta.png", "A 53397-2022")</f>
        <v/>
      </c>
      <c r="V491">
        <f>HYPERLINK("https://klasma.github.io/Logging_1435/klagomål/A 53397-2022 FSC-klagomål.docx", "A 53397-2022")</f>
        <v/>
      </c>
      <c r="W491">
        <f>HYPERLINK("https://klasma.github.io/Logging_1435/klagomålsmail/A 53397-2022 FSC-klagomål mail.docx", "A 53397-2022")</f>
        <v/>
      </c>
      <c r="X491">
        <f>HYPERLINK("https://klasma.github.io/Logging_1435/tillsyn/A 53397-2022 tillsynsbegäran.docx", "A 53397-2022")</f>
        <v/>
      </c>
      <c r="Y491">
        <f>HYPERLINK("https://klasma.github.io/Logging_1435/tillsynsmail/A 53397-2022 tillsynsbegäran mail.docx", "A 53397-2022")</f>
        <v/>
      </c>
      <c r="Z491">
        <f>HYPERLINK("https://klasma.github.io/Logging_1435/fåglar/A 53397-2022 prioriterade fågelarter.docx", "A 53397-2022")</f>
        <v/>
      </c>
    </row>
    <row r="492" ht="15" customHeight="1">
      <c r="A492" t="inlineStr">
        <is>
          <t>A 9001-2025</t>
        </is>
      </c>
      <c r="B492" s="1" t="n">
        <v>45713</v>
      </c>
      <c r="C492" s="1" t="n">
        <v>46011</v>
      </c>
      <c r="D492" t="inlineStr">
        <is>
          <t>VÄSTRA GÖTALANDS LÄN</t>
        </is>
      </c>
      <c r="E492" t="inlineStr">
        <is>
          <t>STRÖMSTAD</t>
        </is>
      </c>
      <c r="G492" t="n">
        <v>3</v>
      </c>
      <c r="H492" t="n">
        <v>1</v>
      </c>
      <c r="I492" t="n">
        <v>0</v>
      </c>
      <c r="J492" t="n">
        <v>0</v>
      </c>
      <c r="K492" t="n">
        <v>1</v>
      </c>
      <c r="L492" t="n">
        <v>0</v>
      </c>
      <c r="M492" t="n">
        <v>0</v>
      </c>
      <c r="N492" t="n">
        <v>0</v>
      </c>
      <c r="O492" t="n">
        <v>1</v>
      </c>
      <c r="P492" t="n">
        <v>1</v>
      </c>
      <c r="Q492" t="n">
        <v>1</v>
      </c>
      <c r="R492" s="2" t="inlineStr">
        <is>
          <t>Knärot</t>
        </is>
      </c>
      <c r="S492">
        <f>HYPERLINK("https://klasma.github.io/Logging_1486/artfynd/A 9001-2025 artfynd.xlsx", "A 9001-2025")</f>
        <v/>
      </c>
      <c r="T492">
        <f>HYPERLINK("https://klasma.github.io/Logging_1486/kartor/A 9001-2025 karta.png", "A 9001-2025")</f>
        <v/>
      </c>
      <c r="U492">
        <f>HYPERLINK("https://klasma.github.io/Logging_1486/knärot/A 9001-2025 karta knärot.png", "A 9001-2025")</f>
        <v/>
      </c>
      <c r="V492">
        <f>HYPERLINK("https://klasma.github.io/Logging_1486/klagomål/A 9001-2025 FSC-klagomål.docx", "A 9001-2025")</f>
        <v/>
      </c>
      <c r="W492">
        <f>HYPERLINK("https://klasma.github.io/Logging_1486/klagomålsmail/A 9001-2025 FSC-klagomål mail.docx", "A 9001-2025")</f>
        <v/>
      </c>
      <c r="X492">
        <f>HYPERLINK("https://klasma.github.io/Logging_1486/tillsyn/A 9001-2025 tillsynsbegäran.docx", "A 9001-2025")</f>
        <v/>
      </c>
      <c r="Y492">
        <f>HYPERLINK("https://klasma.github.io/Logging_1486/tillsynsmail/A 9001-2025 tillsynsbegäran mail.docx", "A 9001-2025")</f>
        <v/>
      </c>
    </row>
    <row r="493" ht="15" customHeight="1">
      <c r="A493" t="inlineStr">
        <is>
          <t>A 39358-2025</t>
        </is>
      </c>
      <c r="B493" s="1" t="n">
        <v>45889.55650462963</v>
      </c>
      <c r="C493" s="1" t="n">
        <v>46011</v>
      </c>
      <c r="D493" t="inlineStr">
        <is>
          <t>VÄSTRA GÖTALANDS LÄN</t>
        </is>
      </c>
      <c r="E493" t="inlineStr">
        <is>
          <t>TANUM</t>
        </is>
      </c>
      <c r="G493" t="n">
        <v>1.6</v>
      </c>
      <c r="H493" t="n">
        <v>0</v>
      </c>
      <c r="I493" t="n">
        <v>0</v>
      </c>
      <c r="J493" t="n">
        <v>1</v>
      </c>
      <c r="K493" t="n">
        <v>0</v>
      </c>
      <c r="L493" t="n">
        <v>0</v>
      </c>
      <c r="M493" t="n">
        <v>0</v>
      </c>
      <c r="N493" t="n">
        <v>0</v>
      </c>
      <c r="O493" t="n">
        <v>1</v>
      </c>
      <c r="P493" t="n">
        <v>0</v>
      </c>
      <c r="Q493" t="n">
        <v>1</v>
      </c>
      <c r="R493" s="2" t="inlineStr">
        <is>
          <t>Åkerkulla</t>
        </is>
      </c>
      <c r="S493">
        <f>HYPERLINK("https://klasma.github.io/Logging_1435/artfynd/A 39358-2025 artfynd.xlsx", "A 39358-2025")</f>
        <v/>
      </c>
      <c r="T493">
        <f>HYPERLINK("https://klasma.github.io/Logging_1435/kartor/A 39358-2025 karta.png", "A 39358-2025")</f>
        <v/>
      </c>
      <c r="V493">
        <f>HYPERLINK("https://klasma.github.io/Logging_1435/klagomål/A 39358-2025 FSC-klagomål.docx", "A 39358-2025")</f>
        <v/>
      </c>
      <c r="W493">
        <f>HYPERLINK("https://klasma.github.io/Logging_1435/klagomålsmail/A 39358-2025 FSC-klagomål mail.docx", "A 39358-2025")</f>
        <v/>
      </c>
      <c r="X493">
        <f>HYPERLINK("https://klasma.github.io/Logging_1435/tillsyn/A 39358-2025 tillsynsbegäran.docx", "A 39358-2025")</f>
        <v/>
      </c>
      <c r="Y493">
        <f>HYPERLINK("https://klasma.github.io/Logging_1435/tillsynsmail/A 39358-2025 tillsynsbegäran mail.docx", "A 39358-2025")</f>
        <v/>
      </c>
    </row>
    <row r="494" ht="15" customHeight="1">
      <c r="A494" t="inlineStr">
        <is>
          <t>A 3563-2024</t>
        </is>
      </c>
      <c r="B494" s="1" t="n">
        <v>45320</v>
      </c>
      <c r="C494" s="1" t="n">
        <v>46011</v>
      </c>
      <c r="D494" t="inlineStr">
        <is>
          <t>VÄSTRA GÖTALANDS LÄN</t>
        </is>
      </c>
      <c r="E494" t="inlineStr">
        <is>
          <t>ESSUNGA</t>
        </is>
      </c>
      <c r="G494" t="n">
        <v>1.4</v>
      </c>
      <c r="H494" t="n">
        <v>1</v>
      </c>
      <c r="I494" t="n">
        <v>0</v>
      </c>
      <c r="J494" t="n">
        <v>0</v>
      </c>
      <c r="K494" t="n">
        <v>0</v>
      </c>
      <c r="L494" t="n">
        <v>0</v>
      </c>
      <c r="M494" t="n">
        <v>0</v>
      </c>
      <c r="N494" t="n">
        <v>0</v>
      </c>
      <c r="O494" t="n">
        <v>0</v>
      </c>
      <c r="P494" t="n">
        <v>0</v>
      </c>
      <c r="Q494" t="n">
        <v>1</v>
      </c>
      <c r="R494" s="2" t="inlineStr">
        <is>
          <t>Revlummer</t>
        </is>
      </c>
      <c r="S494">
        <f>HYPERLINK("https://klasma.github.io/Logging_1445/artfynd/A 3563-2024 artfynd.xlsx", "A 3563-2024")</f>
        <v/>
      </c>
      <c r="T494">
        <f>HYPERLINK("https://klasma.github.io/Logging_1445/kartor/A 3563-2024 karta.png", "A 3563-2024")</f>
        <v/>
      </c>
      <c r="V494">
        <f>HYPERLINK("https://klasma.github.io/Logging_1445/klagomål/A 3563-2024 FSC-klagomål.docx", "A 3563-2024")</f>
        <v/>
      </c>
      <c r="W494">
        <f>HYPERLINK("https://klasma.github.io/Logging_1445/klagomålsmail/A 3563-2024 FSC-klagomål mail.docx", "A 3563-2024")</f>
        <v/>
      </c>
      <c r="X494">
        <f>HYPERLINK("https://klasma.github.io/Logging_1445/tillsyn/A 3563-2024 tillsynsbegäran.docx", "A 3563-2024")</f>
        <v/>
      </c>
      <c r="Y494">
        <f>HYPERLINK("https://klasma.github.io/Logging_1445/tillsynsmail/A 3563-2024 tillsynsbegäran mail.docx", "A 3563-2024")</f>
        <v/>
      </c>
    </row>
    <row r="495" ht="15" customHeight="1">
      <c r="A495" t="inlineStr">
        <is>
          <t>A 50295-2024</t>
        </is>
      </c>
      <c r="B495" s="1" t="n">
        <v>45600.62445601852</v>
      </c>
      <c r="C495" s="1" t="n">
        <v>46011</v>
      </c>
      <c r="D495" t="inlineStr">
        <is>
          <t>VÄSTRA GÖTALANDS LÄN</t>
        </is>
      </c>
      <c r="E495" t="inlineStr">
        <is>
          <t>STENUNGSUND</t>
        </is>
      </c>
      <c r="G495" t="n">
        <v>2</v>
      </c>
      <c r="H495" t="n">
        <v>1</v>
      </c>
      <c r="I495" t="n">
        <v>0</v>
      </c>
      <c r="J495" t="n">
        <v>0</v>
      </c>
      <c r="K495" t="n">
        <v>0</v>
      </c>
      <c r="L495" t="n">
        <v>0</v>
      </c>
      <c r="M495" t="n">
        <v>0</v>
      </c>
      <c r="N495" t="n">
        <v>0</v>
      </c>
      <c r="O495" t="n">
        <v>0</v>
      </c>
      <c r="P495" t="n">
        <v>0</v>
      </c>
      <c r="Q495" t="n">
        <v>1</v>
      </c>
      <c r="R495" s="2" t="inlineStr">
        <is>
          <t>Revlummer</t>
        </is>
      </c>
      <c r="S495">
        <f>HYPERLINK("https://klasma.github.io/Logging_1415/artfynd/A 50295-2024 artfynd.xlsx", "A 50295-2024")</f>
        <v/>
      </c>
      <c r="T495">
        <f>HYPERLINK("https://klasma.github.io/Logging_1415/kartor/A 50295-2024 karta.png", "A 50295-2024")</f>
        <v/>
      </c>
      <c r="V495">
        <f>HYPERLINK("https://klasma.github.io/Logging_1415/klagomål/A 50295-2024 FSC-klagomål.docx", "A 50295-2024")</f>
        <v/>
      </c>
      <c r="W495">
        <f>HYPERLINK("https://klasma.github.io/Logging_1415/klagomålsmail/A 50295-2024 FSC-klagomål mail.docx", "A 50295-2024")</f>
        <v/>
      </c>
      <c r="X495">
        <f>HYPERLINK("https://klasma.github.io/Logging_1415/tillsyn/A 50295-2024 tillsynsbegäran.docx", "A 50295-2024")</f>
        <v/>
      </c>
      <c r="Y495">
        <f>HYPERLINK("https://klasma.github.io/Logging_1415/tillsynsmail/A 50295-2024 tillsynsbegäran mail.docx", "A 50295-2024")</f>
        <v/>
      </c>
    </row>
    <row r="496" ht="15" customHeight="1">
      <c r="A496" t="inlineStr">
        <is>
          <t>A 3760-2024</t>
        </is>
      </c>
      <c r="B496" s="1" t="n">
        <v>45321</v>
      </c>
      <c r="C496" s="1" t="n">
        <v>46011</v>
      </c>
      <c r="D496" t="inlineStr">
        <is>
          <t>VÄSTRA GÖTALANDS LÄN</t>
        </is>
      </c>
      <c r="E496" t="inlineStr">
        <is>
          <t>BORÅS</t>
        </is>
      </c>
      <c r="F496" t="inlineStr">
        <is>
          <t>Kommuner</t>
        </is>
      </c>
      <c r="G496" t="n">
        <v>6.8</v>
      </c>
      <c r="H496" t="n">
        <v>1</v>
      </c>
      <c r="I496" t="n">
        <v>0</v>
      </c>
      <c r="J496" t="n">
        <v>1</v>
      </c>
      <c r="K496" t="n">
        <v>0</v>
      </c>
      <c r="L496" t="n">
        <v>0</v>
      </c>
      <c r="M496" t="n">
        <v>0</v>
      </c>
      <c r="N496" t="n">
        <v>0</v>
      </c>
      <c r="O496" t="n">
        <v>1</v>
      </c>
      <c r="P496" t="n">
        <v>0</v>
      </c>
      <c r="Q496" t="n">
        <v>1</v>
      </c>
      <c r="R496" s="2" t="inlineStr">
        <is>
          <t>Kråka</t>
        </is>
      </c>
      <c r="S496">
        <f>HYPERLINK("https://klasma.github.io/Logging_1490/artfynd/A 3760-2024 artfynd.xlsx", "A 3760-2024")</f>
        <v/>
      </c>
      <c r="T496">
        <f>HYPERLINK("https://klasma.github.io/Logging_1490/kartor/A 3760-2024 karta.png", "A 3760-2024")</f>
        <v/>
      </c>
      <c r="V496">
        <f>HYPERLINK("https://klasma.github.io/Logging_1490/klagomål/A 3760-2024 FSC-klagomål.docx", "A 3760-2024")</f>
        <v/>
      </c>
      <c r="W496">
        <f>HYPERLINK("https://klasma.github.io/Logging_1490/klagomålsmail/A 3760-2024 FSC-klagomål mail.docx", "A 3760-2024")</f>
        <v/>
      </c>
      <c r="X496">
        <f>HYPERLINK("https://klasma.github.io/Logging_1490/tillsyn/A 3760-2024 tillsynsbegäran.docx", "A 3760-2024")</f>
        <v/>
      </c>
      <c r="Y496">
        <f>HYPERLINK("https://klasma.github.io/Logging_1490/tillsynsmail/A 3760-2024 tillsynsbegäran mail.docx", "A 3760-2024")</f>
        <v/>
      </c>
      <c r="Z496">
        <f>HYPERLINK("https://klasma.github.io/Logging_1490/fåglar/A 3760-2024 prioriterade fågelarter.docx", "A 3760-2024")</f>
        <v/>
      </c>
    </row>
    <row r="497" ht="15" customHeight="1">
      <c r="A497" t="inlineStr">
        <is>
          <t>A 10542-2024</t>
        </is>
      </c>
      <c r="B497" s="1" t="n">
        <v>45366.55957175926</v>
      </c>
      <c r="C497" s="1" t="n">
        <v>46011</v>
      </c>
      <c r="D497" t="inlineStr">
        <is>
          <t>VÄSTRA GÖTALANDS LÄN</t>
        </is>
      </c>
      <c r="E497" t="inlineStr">
        <is>
          <t>ALINGSÅS</t>
        </is>
      </c>
      <c r="G497" t="n">
        <v>2.6</v>
      </c>
      <c r="H497" t="n">
        <v>0</v>
      </c>
      <c r="I497" t="n">
        <v>1</v>
      </c>
      <c r="J497" t="n">
        <v>0</v>
      </c>
      <c r="K497" t="n">
        <v>0</v>
      </c>
      <c r="L497" t="n">
        <v>0</v>
      </c>
      <c r="M497" t="n">
        <v>0</v>
      </c>
      <c r="N497" t="n">
        <v>0</v>
      </c>
      <c r="O497" t="n">
        <v>0</v>
      </c>
      <c r="P497" t="n">
        <v>0</v>
      </c>
      <c r="Q497" t="n">
        <v>1</v>
      </c>
      <c r="R497" s="2" t="inlineStr">
        <is>
          <t>Blodticka</t>
        </is>
      </c>
      <c r="S497">
        <f>HYPERLINK("https://klasma.github.io/Logging_1489/artfynd/A 10542-2024 artfynd.xlsx", "A 10542-2024")</f>
        <v/>
      </c>
      <c r="T497">
        <f>HYPERLINK("https://klasma.github.io/Logging_1489/kartor/A 10542-2024 karta.png", "A 10542-2024")</f>
        <v/>
      </c>
      <c r="V497">
        <f>HYPERLINK("https://klasma.github.io/Logging_1489/klagomål/A 10542-2024 FSC-klagomål.docx", "A 10542-2024")</f>
        <v/>
      </c>
      <c r="W497">
        <f>HYPERLINK("https://klasma.github.io/Logging_1489/klagomålsmail/A 10542-2024 FSC-klagomål mail.docx", "A 10542-2024")</f>
        <v/>
      </c>
      <c r="X497">
        <f>HYPERLINK("https://klasma.github.io/Logging_1489/tillsyn/A 10542-2024 tillsynsbegäran.docx", "A 10542-2024")</f>
        <v/>
      </c>
      <c r="Y497">
        <f>HYPERLINK("https://klasma.github.io/Logging_1489/tillsynsmail/A 10542-2024 tillsynsbegäran mail.docx", "A 10542-2024")</f>
        <v/>
      </c>
    </row>
    <row r="498" ht="15" customHeight="1">
      <c r="A498" t="inlineStr">
        <is>
          <t>A 38064-2023</t>
        </is>
      </c>
      <c r="B498" s="1" t="n">
        <v>45159</v>
      </c>
      <c r="C498" s="1" t="n">
        <v>46011</v>
      </c>
      <c r="D498" t="inlineStr">
        <is>
          <t>VÄSTRA GÖTALANDS LÄN</t>
        </is>
      </c>
      <c r="E498" t="inlineStr">
        <is>
          <t>ÅMÅL</t>
        </is>
      </c>
      <c r="F498" t="inlineStr">
        <is>
          <t>Bergvik skog väst AB</t>
        </is>
      </c>
      <c r="G498" t="n">
        <v>3.5</v>
      </c>
      <c r="H498" t="n">
        <v>0</v>
      </c>
      <c r="I498" t="n">
        <v>1</v>
      </c>
      <c r="J498" t="n">
        <v>0</v>
      </c>
      <c r="K498" t="n">
        <v>0</v>
      </c>
      <c r="L498" t="n">
        <v>0</v>
      </c>
      <c r="M498" t="n">
        <v>0</v>
      </c>
      <c r="N498" t="n">
        <v>0</v>
      </c>
      <c r="O498" t="n">
        <v>0</v>
      </c>
      <c r="P498" t="n">
        <v>0</v>
      </c>
      <c r="Q498" t="n">
        <v>1</v>
      </c>
      <c r="R498" s="2" t="inlineStr">
        <is>
          <t>Vedticka</t>
        </is>
      </c>
      <c r="S498">
        <f>HYPERLINK("https://klasma.github.io/Logging_1492/artfynd/A 38064-2023 artfynd.xlsx", "A 38064-2023")</f>
        <v/>
      </c>
      <c r="T498">
        <f>HYPERLINK("https://klasma.github.io/Logging_1492/kartor/A 38064-2023 karta.png", "A 38064-2023")</f>
        <v/>
      </c>
      <c r="V498">
        <f>HYPERLINK("https://klasma.github.io/Logging_1492/klagomål/A 38064-2023 FSC-klagomål.docx", "A 38064-2023")</f>
        <v/>
      </c>
      <c r="W498">
        <f>HYPERLINK("https://klasma.github.io/Logging_1492/klagomålsmail/A 38064-2023 FSC-klagomål mail.docx", "A 38064-2023")</f>
        <v/>
      </c>
      <c r="X498">
        <f>HYPERLINK("https://klasma.github.io/Logging_1492/tillsyn/A 38064-2023 tillsynsbegäran.docx", "A 38064-2023")</f>
        <v/>
      </c>
      <c r="Y498">
        <f>HYPERLINK("https://klasma.github.io/Logging_1492/tillsynsmail/A 38064-2023 tillsynsbegäran mail.docx", "A 38064-2023")</f>
        <v/>
      </c>
    </row>
    <row r="499" ht="15" customHeight="1">
      <c r="A499" t="inlineStr">
        <is>
          <t>A 26727-2025</t>
        </is>
      </c>
      <c r="B499" s="1" t="n">
        <v>45810.49706018518</v>
      </c>
      <c r="C499" s="1" t="n">
        <v>46011</v>
      </c>
      <c r="D499" t="inlineStr">
        <is>
          <t>VÄSTRA GÖTALANDS LÄN</t>
        </is>
      </c>
      <c r="E499" t="inlineStr">
        <is>
          <t>BENGTSFORS</t>
        </is>
      </c>
      <c r="G499" t="n">
        <v>4</v>
      </c>
      <c r="H499" t="n">
        <v>0</v>
      </c>
      <c r="I499" t="n">
        <v>1</v>
      </c>
      <c r="J499" t="n">
        <v>0</v>
      </c>
      <c r="K499" t="n">
        <v>0</v>
      </c>
      <c r="L499" t="n">
        <v>0</v>
      </c>
      <c r="M499" t="n">
        <v>0</v>
      </c>
      <c r="N499" t="n">
        <v>0</v>
      </c>
      <c r="O499" t="n">
        <v>0</v>
      </c>
      <c r="P499" t="n">
        <v>0</v>
      </c>
      <c r="Q499" t="n">
        <v>1</v>
      </c>
      <c r="R499" s="2" t="inlineStr">
        <is>
          <t>Grönpyrola</t>
        </is>
      </c>
      <c r="S499">
        <f>HYPERLINK("https://klasma.github.io/Logging_1460/artfynd/A 26727-2025 artfynd.xlsx", "A 26727-2025")</f>
        <v/>
      </c>
      <c r="T499">
        <f>HYPERLINK("https://klasma.github.io/Logging_1460/kartor/A 26727-2025 karta.png", "A 26727-2025")</f>
        <v/>
      </c>
      <c r="V499">
        <f>HYPERLINK("https://klasma.github.io/Logging_1460/klagomål/A 26727-2025 FSC-klagomål.docx", "A 26727-2025")</f>
        <v/>
      </c>
      <c r="W499">
        <f>HYPERLINK("https://klasma.github.io/Logging_1460/klagomålsmail/A 26727-2025 FSC-klagomål mail.docx", "A 26727-2025")</f>
        <v/>
      </c>
      <c r="X499">
        <f>HYPERLINK("https://klasma.github.io/Logging_1460/tillsyn/A 26727-2025 tillsynsbegäran.docx", "A 26727-2025")</f>
        <v/>
      </c>
      <c r="Y499">
        <f>HYPERLINK("https://klasma.github.io/Logging_1460/tillsynsmail/A 26727-2025 tillsynsbegäran mail.docx", "A 26727-2025")</f>
        <v/>
      </c>
    </row>
    <row r="500" ht="15" customHeight="1">
      <c r="A500" t="inlineStr">
        <is>
          <t>A 26677-2025</t>
        </is>
      </c>
      <c r="B500" s="1" t="n">
        <v>45810.42446759259</v>
      </c>
      <c r="C500" s="1" t="n">
        <v>46011</v>
      </c>
      <c r="D500" t="inlineStr">
        <is>
          <t>VÄSTRA GÖTALANDS LÄN</t>
        </is>
      </c>
      <c r="E500" t="inlineStr">
        <is>
          <t>ALE</t>
        </is>
      </c>
      <c r="G500" t="n">
        <v>1.2</v>
      </c>
      <c r="H500" t="n">
        <v>0</v>
      </c>
      <c r="I500" t="n">
        <v>1</v>
      </c>
      <c r="J500" t="n">
        <v>0</v>
      </c>
      <c r="K500" t="n">
        <v>0</v>
      </c>
      <c r="L500" t="n">
        <v>0</v>
      </c>
      <c r="M500" t="n">
        <v>0</v>
      </c>
      <c r="N500" t="n">
        <v>0</v>
      </c>
      <c r="O500" t="n">
        <v>0</v>
      </c>
      <c r="P500" t="n">
        <v>0</v>
      </c>
      <c r="Q500" t="n">
        <v>1</v>
      </c>
      <c r="R500" s="2" t="inlineStr">
        <is>
          <t>Västlig hakmossa</t>
        </is>
      </c>
      <c r="S500">
        <f>HYPERLINK("https://klasma.github.io/Logging_1440/artfynd/A 26677-2025 artfynd.xlsx", "A 26677-2025")</f>
        <v/>
      </c>
      <c r="T500">
        <f>HYPERLINK("https://klasma.github.io/Logging_1440/kartor/A 26677-2025 karta.png", "A 26677-2025")</f>
        <v/>
      </c>
      <c r="V500">
        <f>HYPERLINK("https://klasma.github.io/Logging_1440/klagomål/A 26677-2025 FSC-klagomål.docx", "A 26677-2025")</f>
        <v/>
      </c>
      <c r="W500">
        <f>HYPERLINK("https://klasma.github.io/Logging_1440/klagomålsmail/A 26677-2025 FSC-klagomål mail.docx", "A 26677-2025")</f>
        <v/>
      </c>
      <c r="X500">
        <f>HYPERLINK("https://klasma.github.io/Logging_1440/tillsyn/A 26677-2025 tillsynsbegäran.docx", "A 26677-2025")</f>
        <v/>
      </c>
      <c r="Y500">
        <f>HYPERLINK("https://klasma.github.io/Logging_1440/tillsynsmail/A 26677-2025 tillsynsbegäran mail.docx", "A 26677-2025")</f>
        <v/>
      </c>
    </row>
    <row r="501" ht="15" customHeight="1">
      <c r="A501" t="inlineStr">
        <is>
          <t>A 61199-2023</t>
        </is>
      </c>
      <c r="B501" s="1" t="n">
        <v>45264</v>
      </c>
      <c r="C501" s="1" t="n">
        <v>46011</v>
      </c>
      <c r="D501" t="inlineStr">
        <is>
          <t>VÄSTRA GÖTALANDS LÄN</t>
        </is>
      </c>
      <c r="E501" t="inlineStr">
        <is>
          <t>ULRICEHAMN</t>
        </is>
      </c>
      <c r="G501" t="n">
        <v>2.6</v>
      </c>
      <c r="H501" t="n">
        <v>0</v>
      </c>
      <c r="I501" t="n">
        <v>0</v>
      </c>
      <c r="J501" t="n">
        <v>0</v>
      </c>
      <c r="K501" t="n">
        <v>0</v>
      </c>
      <c r="L501" t="n">
        <v>1</v>
      </c>
      <c r="M501" t="n">
        <v>0</v>
      </c>
      <c r="N501" t="n">
        <v>0</v>
      </c>
      <c r="O501" t="n">
        <v>1</v>
      </c>
      <c r="P501" t="n">
        <v>1</v>
      </c>
      <c r="Q501" t="n">
        <v>1</v>
      </c>
      <c r="R501" s="2" t="inlineStr">
        <is>
          <t>Ask</t>
        </is>
      </c>
      <c r="S501">
        <f>HYPERLINK("https://klasma.github.io/Logging_1491/artfynd/A 61199-2023 artfynd.xlsx", "A 61199-2023")</f>
        <v/>
      </c>
      <c r="T501">
        <f>HYPERLINK("https://klasma.github.io/Logging_1491/kartor/A 61199-2023 karta.png", "A 61199-2023")</f>
        <v/>
      </c>
      <c r="V501">
        <f>HYPERLINK("https://klasma.github.io/Logging_1491/klagomål/A 61199-2023 FSC-klagomål.docx", "A 61199-2023")</f>
        <v/>
      </c>
      <c r="W501">
        <f>HYPERLINK("https://klasma.github.io/Logging_1491/klagomålsmail/A 61199-2023 FSC-klagomål mail.docx", "A 61199-2023")</f>
        <v/>
      </c>
      <c r="X501">
        <f>HYPERLINK("https://klasma.github.io/Logging_1491/tillsyn/A 61199-2023 tillsynsbegäran.docx", "A 61199-2023")</f>
        <v/>
      </c>
      <c r="Y501">
        <f>HYPERLINK("https://klasma.github.io/Logging_1491/tillsynsmail/A 61199-2023 tillsynsbegäran mail.docx", "A 61199-2023")</f>
        <v/>
      </c>
    </row>
    <row r="502" ht="15" customHeight="1">
      <c r="A502" t="inlineStr">
        <is>
          <t>A 40438-2025</t>
        </is>
      </c>
      <c r="B502" s="1" t="n">
        <v>45895.62070601852</v>
      </c>
      <c r="C502" s="1" t="n">
        <v>46011</v>
      </c>
      <c r="D502" t="inlineStr">
        <is>
          <t>VÄSTRA GÖTALANDS LÄN</t>
        </is>
      </c>
      <c r="E502" t="inlineStr">
        <is>
          <t>MUNKEDAL</t>
        </is>
      </c>
      <c r="G502" t="n">
        <v>9.4</v>
      </c>
      <c r="H502" t="n">
        <v>0</v>
      </c>
      <c r="I502" t="n">
        <v>0</v>
      </c>
      <c r="J502" t="n">
        <v>1</v>
      </c>
      <c r="K502" t="n">
        <v>0</v>
      </c>
      <c r="L502" t="n">
        <v>0</v>
      </c>
      <c r="M502" t="n">
        <v>0</v>
      </c>
      <c r="N502" t="n">
        <v>0</v>
      </c>
      <c r="O502" t="n">
        <v>1</v>
      </c>
      <c r="P502" t="n">
        <v>0</v>
      </c>
      <c r="Q502" t="n">
        <v>1</v>
      </c>
      <c r="R502" s="2" t="inlineStr">
        <is>
          <t>Svinrot</t>
        </is>
      </c>
      <c r="S502">
        <f>HYPERLINK("https://klasma.github.io/Logging_1430/artfynd/A 40438-2025 artfynd.xlsx", "A 40438-2025")</f>
        <v/>
      </c>
      <c r="T502">
        <f>HYPERLINK("https://klasma.github.io/Logging_1430/kartor/A 40438-2025 karta.png", "A 40438-2025")</f>
        <v/>
      </c>
      <c r="V502">
        <f>HYPERLINK("https://klasma.github.io/Logging_1430/klagomål/A 40438-2025 FSC-klagomål.docx", "A 40438-2025")</f>
        <v/>
      </c>
      <c r="W502">
        <f>HYPERLINK("https://klasma.github.io/Logging_1430/klagomålsmail/A 40438-2025 FSC-klagomål mail.docx", "A 40438-2025")</f>
        <v/>
      </c>
      <c r="X502">
        <f>HYPERLINK("https://klasma.github.io/Logging_1430/tillsyn/A 40438-2025 tillsynsbegäran.docx", "A 40438-2025")</f>
        <v/>
      </c>
      <c r="Y502">
        <f>HYPERLINK("https://klasma.github.io/Logging_1430/tillsynsmail/A 40438-2025 tillsynsbegäran mail.docx", "A 40438-2025")</f>
        <v/>
      </c>
    </row>
    <row r="503" ht="15" customHeight="1">
      <c r="A503" t="inlineStr">
        <is>
          <t>A 40642-2025</t>
        </is>
      </c>
      <c r="B503" s="1" t="n">
        <v>45896.6121875</v>
      </c>
      <c r="C503" s="1" t="n">
        <v>46011</v>
      </c>
      <c r="D503" t="inlineStr">
        <is>
          <t>VÄSTRA GÖTALANDS LÄN</t>
        </is>
      </c>
      <c r="E503" t="inlineStr">
        <is>
          <t>MARK</t>
        </is>
      </c>
      <c r="G503" t="n">
        <v>2.4</v>
      </c>
      <c r="H503" t="n">
        <v>0</v>
      </c>
      <c r="I503" t="n">
        <v>1</v>
      </c>
      <c r="J503" t="n">
        <v>0</v>
      </c>
      <c r="K503" t="n">
        <v>0</v>
      </c>
      <c r="L503" t="n">
        <v>0</v>
      </c>
      <c r="M503" t="n">
        <v>0</v>
      </c>
      <c r="N503" t="n">
        <v>0</v>
      </c>
      <c r="O503" t="n">
        <v>0</v>
      </c>
      <c r="P503" t="n">
        <v>0</v>
      </c>
      <c r="Q503" t="n">
        <v>1</v>
      </c>
      <c r="R503" s="2" t="inlineStr">
        <is>
          <t>Fällmossa</t>
        </is>
      </c>
      <c r="S503">
        <f>HYPERLINK("https://klasma.github.io/Logging_1463/artfynd/A 40642-2025 artfynd.xlsx", "A 40642-2025")</f>
        <v/>
      </c>
      <c r="T503">
        <f>HYPERLINK("https://klasma.github.io/Logging_1463/kartor/A 40642-2025 karta.png", "A 40642-2025")</f>
        <v/>
      </c>
      <c r="V503">
        <f>HYPERLINK("https://klasma.github.io/Logging_1463/klagomål/A 40642-2025 FSC-klagomål.docx", "A 40642-2025")</f>
        <v/>
      </c>
      <c r="W503">
        <f>HYPERLINK("https://klasma.github.io/Logging_1463/klagomålsmail/A 40642-2025 FSC-klagomål mail.docx", "A 40642-2025")</f>
        <v/>
      </c>
      <c r="X503">
        <f>HYPERLINK("https://klasma.github.io/Logging_1463/tillsyn/A 40642-2025 tillsynsbegäran.docx", "A 40642-2025")</f>
        <v/>
      </c>
      <c r="Y503">
        <f>HYPERLINK("https://klasma.github.io/Logging_1463/tillsynsmail/A 40642-2025 tillsynsbegäran mail.docx", "A 40642-2025")</f>
        <v/>
      </c>
    </row>
    <row r="504" ht="15" customHeight="1">
      <c r="A504" t="inlineStr">
        <is>
          <t>A 14102-2025</t>
        </is>
      </c>
      <c r="B504" s="1" t="n">
        <v>45740</v>
      </c>
      <c r="C504" s="1" t="n">
        <v>46011</v>
      </c>
      <c r="D504" t="inlineStr">
        <is>
          <t>VÄSTRA GÖTALANDS LÄN</t>
        </is>
      </c>
      <c r="E504" t="inlineStr">
        <is>
          <t>FALKÖPING</t>
        </is>
      </c>
      <c r="G504" t="n">
        <v>11</v>
      </c>
      <c r="H504" t="n">
        <v>1</v>
      </c>
      <c r="I504" t="n">
        <v>0</v>
      </c>
      <c r="J504" t="n">
        <v>0</v>
      </c>
      <c r="K504" t="n">
        <v>1</v>
      </c>
      <c r="L504" t="n">
        <v>0</v>
      </c>
      <c r="M504" t="n">
        <v>0</v>
      </c>
      <c r="N504" t="n">
        <v>0</v>
      </c>
      <c r="O504" t="n">
        <v>1</v>
      </c>
      <c r="P504" t="n">
        <v>1</v>
      </c>
      <c r="Q504" t="n">
        <v>1</v>
      </c>
      <c r="R504" s="2" t="inlineStr">
        <is>
          <t>Brushane</t>
        </is>
      </c>
      <c r="S504">
        <f>HYPERLINK("https://klasma.github.io/Logging_1499/artfynd/A 14102-2025 artfynd.xlsx", "A 14102-2025")</f>
        <v/>
      </c>
      <c r="T504">
        <f>HYPERLINK("https://klasma.github.io/Logging_1499/kartor/A 14102-2025 karta.png", "A 14102-2025")</f>
        <v/>
      </c>
      <c r="V504">
        <f>HYPERLINK("https://klasma.github.io/Logging_1499/klagomål/A 14102-2025 FSC-klagomål.docx", "A 14102-2025")</f>
        <v/>
      </c>
      <c r="W504">
        <f>HYPERLINK("https://klasma.github.io/Logging_1499/klagomålsmail/A 14102-2025 FSC-klagomål mail.docx", "A 14102-2025")</f>
        <v/>
      </c>
      <c r="X504">
        <f>HYPERLINK("https://klasma.github.io/Logging_1499/tillsyn/A 14102-2025 tillsynsbegäran.docx", "A 14102-2025")</f>
        <v/>
      </c>
      <c r="Y504">
        <f>HYPERLINK("https://klasma.github.io/Logging_1499/tillsynsmail/A 14102-2025 tillsynsbegäran mail.docx", "A 14102-2025")</f>
        <v/>
      </c>
    </row>
    <row r="505" ht="15" customHeight="1">
      <c r="A505" t="inlineStr">
        <is>
          <t>A 8266-2022</t>
        </is>
      </c>
      <c r="B505" s="1" t="n">
        <v>44610</v>
      </c>
      <c r="C505" s="1" t="n">
        <v>46011</v>
      </c>
      <c r="D505" t="inlineStr">
        <is>
          <t>VÄSTRA GÖTALANDS LÄN</t>
        </is>
      </c>
      <c r="E505" t="inlineStr">
        <is>
          <t>TÖREBODA</t>
        </is>
      </c>
      <c r="F505" t="inlineStr">
        <is>
          <t>Sveaskog</t>
        </is>
      </c>
      <c r="G505" t="n">
        <v>0.5</v>
      </c>
      <c r="H505" t="n">
        <v>0</v>
      </c>
      <c r="I505" t="n">
        <v>0</v>
      </c>
      <c r="J505" t="n">
        <v>1</v>
      </c>
      <c r="K505" t="n">
        <v>0</v>
      </c>
      <c r="L505" t="n">
        <v>0</v>
      </c>
      <c r="M505" t="n">
        <v>0</v>
      </c>
      <c r="N505" t="n">
        <v>0</v>
      </c>
      <c r="O505" t="n">
        <v>1</v>
      </c>
      <c r="P505" t="n">
        <v>0</v>
      </c>
      <c r="Q505" t="n">
        <v>1</v>
      </c>
      <c r="R505" s="2" t="inlineStr">
        <is>
          <t>Dofttaggsvamp</t>
        </is>
      </c>
      <c r="S505">
        <f>HYPERLINK("https://klasma.github.io/Logging_1473/artfynd/A 8266-2022 artfynd.xlsx", "A 8266-2022")</f>
        <v/>
      </c>
      <c r="T505">
        <f>HYPERLINK("https://klasma.github.io/Logging_1473/kartor/A 8266-2022 karta.png", "A 8266-2022")</f>
        <v/>
      </c>
      <c r="V505">
        <f>HYPERLINK("https://klasma.github.io/Logging_1473/klagomål/A 8266-2022 FSC-klagomål.docx", "A 8266-2022")</f>
        <v/>
      </c>
      <c r="W505">
        <f>HYPERLINK("https://klasma.github.io/Logging_1473/klagomålsmail/A 8266-2022 FSC-klagomål mail.docx", "A 8266-2022")</f>
        <v/>
      </c>
      <c r="X505">
        <f>HYPERLINK("https://klasma.github.io/Logging_1473/tillsyn/A 8266-2022 tillsynsbegäran.docx", "A 8266-2022")</f>
        <v/>
      </c>
      <c r="Y505">
        <f>HYPERLINK("https://klasma.github.io/Logging_1473/tillsynsmail/A 8266-2022 tillsynsbegäran mail.docx", "A 8266-2022")</f>
        <v/>
      </c>
    </row>
    <row r="506" ht="15" customHeight="1">
      <c r="A506" t="inlineStr">
        <is>
          <t>A 47084-2021</t>
        </is>
      </c>
      <c r="B506" s="1" t="n">
        <v>44446.66140046297</v>
      </c>
      <c r="C506" s="1" t="n">
        <v>46011</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21662-2024</t>
        </is>
      </c>
      <c r="B507" s="1" t="n">
        <v>45442.38009259259</v>
      </c>
      <c r="C507" s="1" t="n">
        <v>46011</v>
      </c>
      <c r="D507" t="inlineStr">
        <is>
          <t>VÄSTRA GÖTALANDS LÄN</t>
        </is>
      </c>
      <c r="E507" t="inlineStr">
        <is>
          <t>ALINGSÅS</t>
        </is>
      </c>
      <c r="G507" t="n">
        <v>6.2</v>
      </c>
      <c r="H507" t="n">
        <v>1</v>
      </c>
      <c r="I507" t="n">
        <v>0</v>
      </c>
      <c r="J507" t="n">
        <v>1</v>
      </c>
      <c r="K507" t="n">
        <v>0</v>
      </c>
      <c r="L507" t="n">
        <v>0</v>
      </c>
      <c r="M507" t="n">
        <v>0</v>
      </c>
      <c r="N507" t="n">
        <v>0</v>
      </c>
      <c r="O507" t="n">
        <v>1</v>
      </c>
      <c r="P507" t="n">
        <v>0</v>
      </c>
      <c r="Q507" t="n">
        <v>1</v>
      </c>
      <c r="R507" s="2" t="inlineStr">
        <is>
          <t>Ärtsångare</t>
        </is>
      </c>
      <c r="S507">
        <f>HYPERLINK("https://klasma.github.io/Logging_1489/artfynd/A 21662-2024 artfynd.xlsx", "A 21662-2024")</f>
        <v/>
      </c>
      <c r="T507">
        <f>HYPERLINK("https://klasma.github.io/Logging_1489/kartor/A 21662-2024 karta.png", "A 21662-2024")</f>
        <v/>
      </c>
      <c r="V507">
        <f>HYPERLINK("https://klasma.github.io/Logging_1489/klagomål/A 21662-2024 FSC-klagomål.docx", "A 21662-2024")</f>
        <v/>
      </c>
      <c r="W507">
        <f>HYPERLINK("https://klasma.github.io/Logging_1489/klagomålsmail/A 21662-2024 FSC-klagomål mail.docx", "A 21662-2024")</f>
        <v/>
      </c>
      <c r="X507">
        <f>HYPERLINK("https://klasma.github.io/Logging_1489/tillsyn/A 21662-2024 tillsynsbegäran.docx", "A 21662-2024")</f>
        <v/>
      </c>
      <c r="Y507">
        <f>HYPERLINK("https://klasma.github.io/Logging_1489/tillsynsmail/A 21662-2024 tillsynsbegäran mail.docx", "A 21662-2024")</f>
        <v/>
      </c>
      <c r="Z507">
        <f>HYPERLINK("https://klasma.github.io/Logging_1489/fåglar/A 21662-2024 prioriterade fågelarter.docx", "A 21662-2024")</f>
        <v/>
      </c>
    </row>
    <row r="508" ht="15" customHeight="1">
      <c r="A508" t="inlineStr">
        <is>
          <t>A 27482-2025</t>
        </is>
      </c>
      <c r="B508" s="1" t="n">
        <v>45813.38332175926</v>
      </c>
      <c r="C508" s="1" t="n">
        <v>46011</v>
      </c>
      <c r="D508" t="inlineStr">
        <is>
          <t>VÄSTRA GÖTALANDS LÄN</t>
        </is>
      </c>
      <c r="E508" t="inlineStr">
        <is>
          <t>HÄRRYDA</t>
        </is>
      </c>
      <c r="G508" t="n">
        <v>14.1</v>
      </c>
      <c r="H508" t="n">
        <v>0</v>
      </c>
      <c r="I508" t="n">
        <v>0</v>
      </c>
      <c r="J508" t="n">
        <v>1</v>
      </c>
      <c r="K508" t="n">
        <v>0</v>
      </c>
      <c r="L508" t="n">
        <v>0</v>
      </c>
      <c r="M508" t="n">
        <v>0</v>
      </c>
      <c r="N508" t="n">
        <v>0</v>
      </c>
      <c r="O508" t="n">
        <v>1</v>
      </c>
      <c r="P508" t="n">
        <v>0</v>
      </c>
      <c r="Q508" t="n">
        <v>1</v>
      </c>
      <c r="R508" s="2" t="inlineStr">
        <is>
          <t>Kortskaftad ärgspik</t>
        </is>
      </c>
      <c r="S508">
        <f>HYPERLINK("https://klasma.github.io/Logging_1401/artfynd/A 27482-2025 artfynd.xlsx", "A 27482-2025")</f>
        <v/>
      </c>
      <c r="T508">
        <f>HYPERLINK("https://klasma.github.io/Logging_1401/kartor/A 27482-2025 karta.png", "A 27482-2025")</f>
        <v/>
      </c>
      <c r="V508">
        <f>HYPERLINK("https://klasma.github.io/Logging_1401/klagomål/A 27482-2025 FSC-klagomål.docx", "A 27482-2025")</f>
        <v/>
      </c>
      <c r="W508">
        <f>HYPERLINK("https://klasma.github.io/Logging_1401/klagomålsmail/A 27482-2025 FSC-klagomål mail.docx", "A 27482-2025")</f>
        <v/>
      </c>
      <c r="X508">
        <f>HYPERLINK("https://klasma.github.io/Logging_1401/tillsyn/A 27482-2025 tillsynsbegäran.docx", "A 27482-2025")</f>
        <v/>
      </c>
      <c r="Y508">
        <f>HYPERLINK("https://klasma.github.io/Logging_1401/tillsynsmail/A 27482-2025 tillsynsbegäran mail.docx", "A 27482-2025")</f>
        <v/>
      </c>
    </row>
    <row r="509" ht="15" customHeight="1">
      <c r="A509" t="inlineStr">
        <is>
          <t>A 17540-2025</t>
        </is>
      </c>
      <c r="B509" s="1" t="n">
        <v>45757</v>
      </c>
      <c r="C509" s="1" t="n">
        <v>46011</v>
      </c>
      <c r="D509" t="inlineStr">
        <is>
          <t>VÄSTRA GÖTALANDS LÄN</t>
        </is>
      </c>
      <c r="E509" t="inlineStr">
        <is>
          <t>TÖREBODA</t>
        </is>
      </c>
      <c r="G509" t="n">
        <v>3.5</v>
      </c>
      <c r="H509" t="n">
        <v>1</v>
      </c>
      <c r="I509" t="n">
        <v>0</v>
      </c>
      <c r="J509" t="n">
        <v>0</v>
      </c>
      <c r="K509" t="n">
        <v>0</v>
      </c>
      <c r="L509" t="n">
        <v>0</v>
      </c>
      <c r="M509" t="n">
        <v>0</v>
      </c>
      <c r="N509" t="n">
        <v>0</v>
      </c>
      <c r="O509" t="n">
        <v>0</v>
      </c>
      <c r="P509" t="n">
        <v>0</v>
      </c>
      <c r="Q509" t="n">
        <v>1</v>
      </c>
      <c r="R509" s="2" t="inlineStr">
        <is>
          <t>Vattenfladdermus</t>
        </is>
      </c>
      <c r="S509">
        <f>HYPERLINK("https://klasma.github.io/Logging_1473/artfynd/A 17540-2025 artfynd.xlsx", "A 17540-2025")</f>
        <v/>
      </c>
      <c r="T509">
        <f>HYPERLINK("https://klasma.github.io/Logging_1473/kartor/A 17540-2025 karta.png", "A 17540-2025")</f>
        <v/>
      </c>
      <c r="V509">
        <f>HYPERLINK("https://klasma.github.io/Logging_1473/klagomål/A 17540-2025 FSC-klagomål.docx", "A 17540-2025")</f>
        <v/>
      </c>
      <c r="W509">
        <f>HYPERLINK("https://klasma.github.io/Logging_1473/klagomålsmail/A 17540-2025 FSC-klagomål mail.docx", "A 17540-2025")</f>
        <v/>
      </c>
      <c r="X509">
        <f>HYPERLINK("https://klasma.github.io/Logging_1473/tillsyn/A 17540-2025 tillsynsbegäran.docx", "A 17540-2025")</f>
        <v/>
      </c>
      <c r="Y509">
        <f>HYPERLINK("https://klasma.github.io/Logging_1473/tillsynsmail/A 17540-2025 tillsynsbegäran mail.docx", "A 17540-2025")</f>
        <v/>
      </c>
    </row>
    <row r="510" ht="15" customHeight="1">
      <c r="A510" t="inlineStr">
        <is>
          <t>A 6082-2025</t>
        </is>
      </c>
      <c r="B510" s="1" t="n">
        <v>45697</v>
      </c>
      <c r="C510" s="1" t="n">
        <v>46011</v>
      </c>
      <c r="D510" t="inlineStr">
        <is>
          <t>VÄSTRA GÖTALANDS LÄN</t>
        </is>
      </c>
      <c r="E510" t="inlineStr">
        <is>
          <t>KUNGÄLV</t>
        </is>
      </c>
      <c r="G510" t="n">
        <v>2.8</v>
      </c>
      <c r="H510" t="n">
        <v>1</v>
      </c>
      <c r="I510" t="n">
        <v>0</v>
      </c>
      <c r="J510" t="n">
        <v>1</v>
      </c>
      <c r="K510" t="n">
        <v>0</v>
      </c>
      <c r="L510" t="n">
        <v>0</v>
      </c>
      <c r="M510" t="n">
        <v>0</v>
      </c>
      <c r="N510" t="n">
        <v>0</v>
      </c>
      <c r="O510" t="n">
        <v>1</v>
      </c>
      <c r="P510" t="n">
        <v>0</v>
      </c>
      <c r="Q510" t="n">
        <v>1</v>
      </c>
      <c r="R510" s="2" t="inlineStr">
        <is>
          <t>Spillkråka</t>
        </is>
      </c>
      <c r="S510">
        <f>HYPERLINK("https://klasma.github.io/Logging_1482/artfynd/A 6082-2025 artfynd.xlsx", "A 6082-2025")</f>
        <v/>
      </c>
      <c r="T510">
        <f>HYPERLINK("https://klasma.github.io/Logging_1482/kartor/A 6082-2025 karta.png", "A 6082-2025")</f>
        <v/>
      </c>
      <c r="V510">
        <f>HYPERLINK("https://klasma.github.io/Logging_1482/klagomål/A 6082-2025 FSC-klagomål.docx", "A 6082-2025")</f>
        <v/>
      </c>
      <c r="W510">
        <f>HYPERLINK("https://klasma.github.io/Logging_1482/klagomålsmail/A 6082-2025 FSC-klagomål mail.docx", "A 6082-2025")</f>
        <v/>
      </c>
      <c r="X510">
        <f>HYPERLINK("https://klasma.github.io/Logging_1482/tillsyn/A 6082-2025 tillsynsbegäran.docx", "A 6082-2025")</f>
        <v/>
      </c>
      <c r="Y510">
        <f>HYPERLINK("https://klasma.github.io/Logging_1482/tillsynsmail/A 6082-2025 tillsynsbegäran mail.docx", "A 6082-2025")</f>
        <v/>
      </c>
      <c r="Z510">
        <f>HYPERLINK("https://klasma.github.io/Logging_1482/fåglar/A 6082-2025 prioriterade fågelarter.docx", "A 6082-2025")</f>
        <v/>
      </c>
    </row>
    <row r="511" ht="15" customHeight="1">
      <c r="A511" t="inlineStr">
        <is>
          <t>A 24247-2024</t>
        </is>
      </c>
      <c r="B511" s="1" t="n">
        <v>45457</v>
      </c>
      <c r="C511" s="1" t="n">
        <v>46011</v>
      </c>
      <c r="D511" t="inlineStr">
        <is>
          <t>VÄSTRA GÖTALANDS LÄN</t>
        </is>
      </c>
      <c r="E511" t="inlineStr">
        <is>
          <t>BENGTSFORS</t>
        </is>
      </c>
      <c r="F511" t="inlineStr">
        <is>
          <t>Kyrkan</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HYPERLINK("https://klasma.github.io/Logging_1460/artfynd/A 24247-2024 artfynd.xlsx", "A 24247-2024")</f>
        <v/>
      </c>
      <c r="T511">
        <f>HYPERLINK("https://klasma.github.io/Logging_1460/kartor/A 24247-2024 karta.png", "A 24247-2024")</f>
        <v/>
      </c>
      <c r="V511">
        <f>HYPERLINK("https://klasma.github.io/Logging_1460/klagomål/A 24247-2024 FSC-klagomål.docx", "A 24247-2024")</f>
        <v/>
      </c>
      <c r="W511">
        <f>HYPERLINK("https://klasma.github.io/Logging_1460/klagomålsmail/A 24247-2024 FSC-klagomål mail.docx", "A 24247-2024")</f>
        <v/>
      </c>
      <c r="X511">
        <f>HYPERLINK("https://klasma.github.io/Logging_1460/tillsyn/A 24247-2024 tillsynsbegäran.docx", "A 24247-2024")</f>
        <v/>
      </c>
      <c r="Y511">
        <f>HYPERLINK("https://klasma.github.io/Logging_1460/tillsynsmail/A 24247-2024 tillsynsbegäran mail.docx", "A 24247-2024")</f>
        <v/>
      </c>
    </row>
    <row r="512" ht="15" customHeight="1">
      <c r="A512" t="inlineStr">
        <is>
          <t>A 12658-2025</t>
        </is>
      </c>
      <c r="B512" s="1" t="n">
        <v>45733.42328703704</v>
      </c>
      <c r="C512" s="1" t="n">
        <v>46011</v>
      </c>
      <c r="D512" t="inlineStr">
        <is>
          <t>VÄSTRA GÖTALANDS LÄN</t>
        </is>
      </c>
      <c r="E512" t="inlineStr">
        <is>
          <t>SVENLJUNGA</t>
        </is>
      </c>
      <c r="G512" t="n">
        <v>3.7</v>
      </c>
      <c r="H512" t="n">
        <v>0</v>
      </c>
      <c r="I512" t="n">
        <v>0</v>
      </c>
      <c r="J512" t="n">
        <v>1</v>
      </c>
      <c r="K512" t="n">
        <v>0</v>
      </c>
      <c r="L512" t="n">
        <v>0</v>
      </c>
      <c r="M512" t="n">
        <v>0</v>
      </c>
      <c r="N512" t="n">
        <v>0</v>
      </c>
      <c r="O512" t="n">
        <v>1</v>
      </c>
      <c r="P512" t="n">
        <v>0</v>
      </c>
      <c r="Q512" t="n">
        <v>1</v>
      </c>
      <c r="R512" s="2" t="inlineStr">
        <is>
          <t>Igelkott</t>
        </is>
      </c>
      <c r="S512">
        <f>HYPERLINK("https://klasma.github.io/Logging_1465/artfynd/A 12658-2025 artfynd.xlsx", "A 12658-2025")</f>
        <v/>
      </c>
      <c r="T512">
        <f>HYPERLINK("https://klasma.github.io/Logging_1465/kartor/A 12658-2025 karta.png", "A 12658-2025")</f>
        <v/>
      </c>
      <c r="V512">
        <f>HYPERLINK("https://klasma.github.io/Logging_1465/klagomål/A 12658-2025 FSC-klagomål.docx", "A 12658-2025")</f>
        <v/>
      </c>
      <c r="W512">
        <f>HYPERLINK("https://klasma.github.io/Logging_1465/klagomålsmail/A 12658-2025 FSC-klagomål mail.docx", "A 12658-2025")</f>
        <v/>
      </c>
      <c r="X512">
        <f>HYPERLINK("https://klasma.github.io/Logging_1465/tillsyn/A 12658-2025 tillsynsbegäran.docx", "A 12658-2025")</f>
        <v/>
      </c>
      <c r="Y512">
        <f>HYPERLINK("https://klasma.github.io/Logging_1465/tillsynsmail/A 12658-2025 tillsynsbegäran mail.docx", "A 12658-2025")</f>
        <v/>
      </c>
    </row>
    <row r="513" ht="15" customHeight="1">
      <c r="A513" t="inlineStr">
        <is>
          <t>A 13991-2023</t>
        </is>
      </c>
      <c r="B513" s="1" t="n">
        <v>45008</v>
      </c>
      <c r="C513" s="1" t="n">
        <v>46011</v>
      </c>
      <c r="D513" t="inlineStr">
        <is>
          <t>VÄSTRA GÖTALANDS LÄN</t>
        </is>
      </c>
      <c r="E513" t="inlineStr">
        <is>
          <t>VÅRGÅRDA</t>
        </is>
      </c>
      <c r="G513" t="n">
        <v>0.2</v>
      </c>
      <c r="H513" t="n">
        <v>0</v>
      </c>
      <c r="I513" t="n">
        <v>0</v>
      </c>
      <c r="J513" t="n">
        <v>1</v>
      </c>
      <c r="K513" t="n">
        <v>0</v>
      </c>
      <c r="L513" t="n">
        <v>0</v>
      </c>
      <c r="M513" t="n">
        <v>0</v>
      </c>
      <c r="N513" t="n">
        <v>0</v>
      </c>
      <c r="O513" t="n">
        <v>1</v>
      </c>
      <c r="P513" t="n">
        <v>0</v>
      </c>
      <c r="Q513" t="n">
        <v>1</v>
      </c>
      <c r="R513" s="2" t="inlineStr">
        <is>
          <t>Borsttåg</t>
        </is>
      </c>
      <c r="S513">
        <f>HYPERLINK("https://klasma.github.io/Logging_1442/artfynd/A 13991-2023 artfynd.xlsx", "A 13991-2023")</f>
        <v/>
      </c>
      <c r="T513">
        <f>HYPERLINK("https://klasma.github.io/Logging_1442/kartor/A 13991-2023 karta.png", "A 13991-2023")</f>
        <v/>
      </c>
      <c r="V513">
        <f>HYPERLINK("https://klasma.github.io/Logging_1442/klagomål/A 13991-2023 FSC-klagomål.docx", "A 13991-2023")</f>
        <v/>
      </c>
      <c r="W513">
        <f>HYPERLINK("https://klasma.github.io/Logging_1442/klagomålsmail/A 13991-2023 FSC-klagomål mail.docx", "A 13991-2023")</f>
        <v/>
      </c>
      <c r="X513">
        <f>HYPERLINK("https://klasma.github.io/Logging_1442/tillsyn/A 13991-2023 tillsynsbegäran.docx", "A 13991-2023")</f>
        <v/>
      </c>
      <c r="Y513">
        <f>HYPERLINK("https://klasma.github.io/Logging_1442/tillsynsmail/A 13991-2023 tillsynsbegäran mail.docx", "A 13991-2023")</f>
        <v/>
      </c>
    </row>
    <row r="514" ht="15" customHeight="1">
      <c r="A514" t="inlineStr">
        <is>
          <t>A 13739-2024</t>
        </is>
      </c>
      <c r="B514" s="1" t="n">
        <v>45390</v>
      </c>
      <c r="C514" s="1" t="n">
        <v>46011</v>
      </c>
      <c r="D514" t="inlineStr">
        <is>
          <t>VÄSTRA GÖTALANDS LÄN</t>
        </is>
      </c>
      <c r="E514" t="inlineStr">
        <is>
          <t>BOLLEBYGD</t>
        </is>
      </c>
      <c r="F514" t="inlineStr">
        <is>
          <t>Kommuner</t>
        </is>
      </c>
      <c r="G514" t="n">
        <v>2.8</v>
      </c>
      <c r="H514" t="n">
        <v>0</v>
      </c>
      <c r="I514" t="n">
        <v>1</v>
      </c>
      <c r="J514" t="n">
        <v>0</v>
      </c>
      <c r="K514" t="n">
        <v>0</v>
      </c>
      <c r="L514" t="n">
        <v>0</v>
      </c>
      <c r="M514" t="n">
        <v>0</v>
      </c>
      <c r="N514" t="n">
        <v>0</v>
      </c>
      <c r="O514" t="n">
        <v>0</v>
      </c>
      <c r="P514" t="n">
        <v>0</v>
      </c>
      <c r="Q514" t="n">
        <v>1</v>
      </c>
      <c r="R514" s="2" t="inlineStr">
        <is>
          <t>Kattfotslav</t>
        </is>
      </c>
      <c r="S514">
        <f>HYPERLINK("https://klasma.github.io/Logging_1443/artfynd/A 13739-2024 artfynd.xlsx", "A 13739-2024")</f>
        <v/>
      </c>
      <c r="T514">
        <f>HYPERLINK("https://klasma.github.io/Logging_1443/kartor/A 13739-2024 karta.png", "A 13739-2024")</f>
        <v/>
      </c>
      <c r="V514">
        <f>HYPERLINK("https://klasma.github.io/Logging_1443/klagomål/A 13739-2024 FSC-klagomål.docx", "A 13739-2024")</f>
        <v/>
      </c>
      <c r="W514">
        <f>HYPERLINK("https://klasma.github.io/Logging_1443/klagomålsmail/A 13739-2024 FSC-klagomål mail.docx", "A 13739-2024")</f>
        <v/>
      </c>
      <c r="X514">
        <f>HYPERLINK("https://klasma.github.io/Logging_1443/tillsyn/A 13739-2024 tillsynsbegäran.docx", "A 13739-2024")</f>
        <v/>
      </c>
      <c r="Y514">
        <f>HYPERLINK("https://klasma.github.io/Logging_1443/tillsynsmail/A 13739-2024 tillsynsbegäran mail.docx", "A 13739-2024")</f>
        <v/>
      </c>
    </row>
    <row r="515" ht="15" customHeight="1">
      <c r="A515" t="inlineStr">
        <is>
          <t>A 28008-2025</t>
        </is>
      </c>
      <c r="B515" s="1" t="n">
        <v>45817.60202546296</v>
      </c>
      <c r="C515" s="1" t="n">
        <v>46011</v>
      </c>
      <c r="D515" t="inlineStr">
        <is>
          <t>VÄSTRA GÖTALANDS LÄN</t>
        </is>
      </c>
      <c r="E515" t="inlineStr">
        <is>
          <t>DALS-ED</t>
        </is>
      </c>
      <c r="G515" t="n">
        <v>3</v>
      </c>
      <c r="H515" t="n">
        <v>0</v>
      </c>
      <c r="I515" t="n">
        <v>1</v>
      </c>
      <c r="J515" t="n">
        <v>0</v>
      </c>
      <c r="K515" t="n">
        <v>0</v>
      </c>
      <c r="L515" t="n">
        <v>0</v>
      </c>
      <c r="M515" t="n">
        <v>0</v>
      </c>
      <c r="N515" t="n">
        <v>0</v>
      </c>
      <c r="O515" t="n">
        <v>0</v>
      </c>
      <c r="P515" t="n">
        <v>0</v>
      </c>
      <c r="Q515" t="n">
        <v>1</v>
      </c>
      <c r="R515" s="2" t="inlineStr">
        <is>
          <t>Jättesvampmal</t>
        </is>
      </c>
      <c r="S515">
        <f>HYPERLINK("https://klasma.github.io/Logging_1438/artfynd/A 28008-2025 artfynd.xlsx", "A 28008-2025")</f>
        <v/>
      </c>
      <c r="T515">
        <f>HYPERLINK("https://klasma.github.io/Logging_1438/kartor/A 28008-2025 karta.png", "A 28008-2025")</f>
        <v/>
      </c>
      <c r="V515">
        <f>HYPERLINK("https://klasma.github.io/Logging_1438/klagomål/A 28008-2025 FSC-klagomål.docx", "A 28008-2025")</f>
        <v/>
      </c>
      <c r="W515">
        <f>HYPERLINK("https://klasma.github.io/Logging_1438/klagomålsmail/A 28008-2025 FSC-klagomål mail.docx", "A 28008-2025")</f>
        <v/>
      </c>
      <c r="X515">
        <f>HYPERLINK("https://klasma.github.io/Logging_1438/tillsyn/A 28008-2025 tillsynsbegäran.docx", "A 28008-2025")</f>
        <v/>
      </c>
      <c r="Y515">
        <f>HYPERLINK("https://klasma.github.io/Logging_1438/tillsynsmail/A 28008-2025 tillsynsbegäran mail.docx", "A 28008-2025")</f>
        <v/>
      </c>
    </row>
    <row r="516" ht="15" customHeight="1">
      <c r="A516" t="inlineStr">
        <is>
          <t>A 7234-2025</t>
        </is>
      </c>
      <c r="B516" s="1" t="n">
        <v>45702.51854166666</v>
      </c>
      <c r="C516" s="1" t="n">
        <v>46011</v>
      </c>
      <c r="D516" t="inlineStr">
        <is>
          <t>VÄSTRA GÖTALANDS LÄN</t>
        </is>
      </c>
      <c r="E516" t="inlineStr">
        <is>
          <t>BORÅS</t>
        </is>
      </c>
      <c r="G516" t="n">
        <v>6.1</v>
      </c>
      <c r="H516" t="n">
        <v>0</v>
      </c>
      <c r="I516" t="n">
        <v>0</v>
      </c>
      <c r="J516" t="n">
        <v>1</v>
      </c>
      <c r="K516" t="n">
        <v>0</v>
      </c>
      <c r="L516" t="n">
        <v>0</v>
      </c>
      <c r="M516" t="n">
        <v>0</v>
      </c>
      <c r="N516" t="n">
        <v>0</v>
      </c>
      <c r="O516" t="n">
        <v>1</v>
      </c>
      <c r="P516" t="n">
        <v>0</v>
      </c>
      <c r="Q516" t="n">
        <v>1</v>
      </c>
      <c r="R516" s="2" t="inlineStr">
        <is>
          <t>Borsttåg</t>
        </is>
      </c>
      <c r="S516">
        <f>HYPERLINK("https://klasma.github.io/Logging_1490/artfynd/A 7234-2025 artfynd.xlsx", "A 7234-2025")</f>
        <v/>
      </c>
      <c r="T516">
        <f>HYPERLINK("https://klasma.github.io/Logging_1490/kartor/A 7234-2025 karta.png", "A 7234-2025")</f>
        <v/>
      </c>
      <c r="V516">
        <f>HYPERLINK("https://klasma.github.io/Logging_1490/klagomål/A 7234-2025 FSC-klagomål.docx", "A 7234-2025")</f>
        <v/>
      </c>
      <c r="W516">
        <f>HYPERLINK("https://klasma.github.io/Logging_1490/klagomålsmail/A 7234-2025 FSC-klagomål mail.docx", "A 7234-2025")</f>
        <v/>
      </c>
      <c r="X516">
        <f>HYPERLINK("https://klasma.github.io/Logging_1490/tillsyn/A 7234-2025 tillsynsbegäran.docx", "A 7234-2025")</f>
        <v/>
      </c>
      <c r="Y516">
        <f>HYPERLINK("https://klasma.github.io/Logging_1490/tillsynsmail/A 7234-2025 tillsynsbegäran mail.docx", "A 7234-2025")</f>
        <v/>
      </c>
    </row>
    <row r="517" ht="15" customHeight="1">
      <c r="A517" t="inlineStr">
        <is>
          <t>A 41538-2025</t>
        </is>
      </c>
      <c r="B517" s="1" t="n">
        <v>45901.56631944444</v>
      </c>
      <c r="C517" s="1" t="n">
        <v>46011</v>
      </c>
      <c r="D517" t="inlineStr">
        <is>
          <t>VÄSTRA GÖTALANDS LÄN</t>
        </is>
      </c>
      <c r="E517" t="inlineStr">
        <is>
          <t>BENGTSFORS</t>
        </is>
      </c>
      <c r="G517" t="n">
        <v>1.1</v>
      </c>
      <c r="H517" t="n">
        <v>1</v>
      </c>
      <c r="I517" t="n">
        <v>0</v>
      </c>
      <c r="J517" t="n">
        <v>0</v>
      </c>
      <c r="K517" t="n">
        <v>0</v>
      </c>
      <c r="L517" t="n">
        <v>0</v>
      </c>
      <c r="M517" t="n">
        <v>0</v>
      </c>
      <c r="N517" t="n">
        <v>0</v>
      </c>
      <c r="O517" t="n">
        <v>0</v>
      </c>
      <c r="P517" t="n">
        <v>0</v>
      </c>
      <c r="Q517" t="n">
        <v>1</v>
      </c>
      <c r="R517" s="2" t="inlineStr">
        <is>
          <t>Revlummer</t>
        </is>
      </c>
      <c r="S517">
        <f>HYPERLINK("https://klasma.github.io/Logging_1460/artfynd/A 41538-2025 artfynd.xlsx", "A 41538-2025")</f>
        <v/>
      </c>
      <c r="T517">
        <f>HYPERLINK("https://klasma.github.io/Logging_1460/kartor/A 41538-2025 karta.png", "A 41538-2025")</f>
        <v/>
      </c>
      <c r="V517">
        <f>HYPERLINK("https://klasma.github.io/Logging_1460/klagomål/A 41538-2025 FSC-klagomål.docx", "A 41538-2025")</f>
        <v/>
      </c>
      <c r="W517">
        <f>HYPERLINK("https://klasma.github.io/Logging_1460/klagomålsmail/A 41538-2025 FSC-klagomål mail.docx", "A 41538-2025")</f>
        <v/>
      </c>
      <c r="X517">
        <f>HYPERLINK("https://klasma.github.io/Logging_1460/tillsyn/A 41538-2025 tillsynsbegäran.docx", "A 41538-2025")</f>
        <v/>
      </c>
      <c r="Y517">
        <f>HYPERLINK("https://klasma.github.io/Logging_1460/tillsynsmail/A 41538-2025 tillsynsbegäran mail.docx", "A 41538-2025")</f>
        <v/>
      </c>
    </row>
    <row r="518" ht="15" customHeight="1">
      <c r="A518" t="inlineStr">
        <is>
          <t>A 39240-2025</t>
        </is>
      </c>
      <c r="B518" s="1" t="n">
        <v>45889.33890046296</v>
      </c>
      <c r="C518" s="1" t="n">
        <v>46011</v>
      </c>
      <c r="D518" t="inlineStr">
        <is>
          <t>VÄSTRA GÖTALANDS LÄN</t>
        </is>
      </c>
      <c r="E518" t="inlineStr">
        <is>
          <t>ALINGSÅS</t>
        </is>
      </c>
      <c r="G518" t="n">
        <v>4.8</v>
      </c>
      <c r="H518" t="n">
        <v>1</v>
      </c>
      <c r="I518" t="n">
        <v>0</v>
      </c>
      <c r="J518" t="n">
        <v>0</v>
      </c>
      <c r="K518" t="n">
        <v>1</v>
      </c>
      <c r="L518" t="n">
        <v>0</v>
      </c>
      <c r="M518" t="n">
        <v>0</v>
      </c>
      <c r="N518" t="n">
        <v>0</v>
      </c>
      <c r="O518" t="n">
        <v>1</v>
      </c>
      <c r="P518" t="n">
        <v>1</v>
      </c>
      <c r="Q518" t="n">
        <v>1</v>
      </c>
      <c r="R518" s="2" t="inlineStr">
        <is>
          <t>Knärot</t>
        </is>
      </c>
      <c r="S518">
        <f>HYPERLINK("https://klasma.github.io/Logging_1489/artfynd/A 39240-2025 artfynd.xlsx", "A 39240-2025")</f>
        <v/>
      </c>
      <c r="T518">
        <f>HYPERLINK("https://klasma.github.io/Logging_1489/kartor/A 39240-2025 karta.png", "A 39240-2025")</f>
        <v/>
      </c>
      <c r="U518">
        <f>HYPERLINK("https://klasma.github.io/Logging_1489/knärot/A 39240-2025 karta knärot.png", "A 39240-2025")</f>
        <v/>
      </c>
      <c r="V518">
        <f>HYPERLINK("https://klasma.github.io/Logging_1489/klagomål/A 39240-2025 FSC-klagomål.docx", "A 39240-2025")</f>
        <v/>
      </c>
      <c r="W518">
        <f>HYPERLINK("https://klasma.github.io/Logging_1489/klagomålsmail/A 39240-2025 FSC-klagomål mail.docx", "A 39240-2025")</f>
        <v/>
      </c>
      <c r="X518">
        <f>HYPERLINK("https://klasma.github.io/Logging_1489/tillsyn/A 39240-2025 tillsynsbegäran.docx", "A 39240-2025")</f>
        <v/>
      </c>
      <c r="Y518">
        <f>HYPERLINK("https://klasma.github.io/Logging_1489/tillsynsmail/A 39240-2025 tillsynsbegäran mail.docx", "A 39240-2025")</f>
        <v/>
      </c>
    </row>
    <row r="519" ht="15" customHeight="1">
      <c r="A519" t="inlineStr">
        <is>
          <t>A 28783-2025</t>
        </is>
      </c>
      <c r="B519" s="1" t="n">
        <v>45820.45769675926</v>
      </c>
      <c r="C519" s="1" t="n">
        <v>46011</v>
      </c>
      <c r="D519" t="inlineStr">
        <is>
          <t>VÄSTRA GÖTALANDS LÄN</t>
        </is>
      </c>
      <c r="E519" t="inlineStr">
        <is>
          <t>BENGTSFORS</t>
        </is>
      </c>
      <c r="G519" t="n">
        <v>2.2</v>
      </c>
      <c r="H519" t="n">
        <v>0</v>
      </c>
      <c r="I519" t="n">
        <v>1</v>
      </c>
      <c r="J519" t="n">
        <v>0</v>
      </c>
      <c r="K519" t="n">
        <v>0</v>
      </c>
      <c r="L519" t="n">
        <v>0</v>
      </c>
      <c r="M519" t="n">
        <v>0</v>
      </c>
      <c r="N519" t="n">
        <v>0</v>
      </c>
      <c r="O519" t="n">
        <v>0</v>
      </c>
      <c r="P519" t="n">
        <v>0</v>
      </c>
      <c r="Q519" t="n">
        <v>1</v>
      </c>
      <c r="R519" s="2" t="inlineStr">
        <is>
          <t>Grönpyrola</t>
        </is>
      </c>
      <c r="S519">
        <f>HYPERLINK("https://klasma.github.io/Logging_1460/artfynd/A 28783-2025 artfynd.xlsx", "A 28783-2025")</f>
        <v/>
      </c>
      <c r="T519">
        <f>HYPERLINK("https://klasma.github.io/Logging_1460/kartor/A 28783-2025 karta.png", "A 28783-2025")</f>
        <v/>
      </c>
      <c r="V519">
        <f>HYPERLINK("https://klasma.github.io/Logging_1460/klagomål/A 28783-2025 FSC-klagomål.docx", "A 28783-2025")</f>
        <v/>
      </c>
      <c r="W519">
        <f>HYPERLINK("https://klasma.github.io/Logging_1460/klagomålsmail/A 28783-2025 FSC-klagomål mail.docx", "A 28783-2025")</f>
        <v/>
      </c>
      <c r="X519">
        <f>HYPERLINK("https://klasma.github.io/Logging_1460/tillsyn/A 28783-2025 tillsynsbegäran.docx", "A 28783-2025")</f>
        <v/>
      </c>
      <c r="Y519">
        <f>HYPERLINK("https://klasma.github.io/Logging_1460/tillsynsmail/A 28783-2025 tillsynsbegäran mail.docx", "A 28783-2025")</f>
        <v/>
      </c>
    </row>
    <row r="520" ht="15" customHeight="1">
      <c r="A520" t="inlineStr">
        <is>
          <t>A 41346-2025</t>
        </is>
      </c>
      <c r="B520" s="1" t="n">
        <v>45899.48846064815</v>
      </c>
      <c r="C520" s="1" t="n">
        <v>46011</v>
      </c>
      <c r="D520" t="inlineStr">
        <is>
          <t>VÄSTRA GÖTALANDS LÄN</t>
        </is>
      </c>
      <c r="E520" t="inlineStr">
        <is>
          <t>TIDAHOLM</t>
        </is>
      </c>
      <c r="G520" t="n">
        <v>2.7</v>
      </c>
      <c r="H520" t="n">
        <v>0</v>
      </c>
      <c r="I520" t="n">
        <v>1</v>
      </c>
      <c r="J520" t="n">
        <v>0</v>
      </c>
      <c r="K520" t="n">
        <v>0</v>
      </c>
      <c r="L520" t="n">
        <v>0</v>
      </c>
      <c r="M520" t="n">
        <v>0</v>
      </c>
      <c r="N520" t="n">
        <v>0</v>
      </c>
      <c r="O520" t="n">
        <v>0</v>
      </c>
      <c r="P520" t="n">
        <v>0</v>
      </c>
      <c r="Q520" t="n">
        <v>1</v>
      </c>
      <c r="R520" s="2" t="inlineStr">
        <is>
          <t>Guldlockmossa</t>
        </is>
      </c>
      <c r="S520">
        <f>HYPERLINK("https://klasma.github.io/Logging_1498/artfynd/A 41346-2025 artfynd.xlsx", "A 41346-2025")</f>
        <v/>
      </c>
      <c r="T520">
        <f>HYPERLINK("https://klasma.github.io/Logging_1498/kartor/A 41346-2025 karta.png", "A 41346-2025")</f>
        <v/>
      </c>
      <c r="V520">
        <f>HYPERLINK("https://klasma.github.io/Logging_1498/klagomål/A 41346-2025 FSC-klagomål.docx", "A 41346-2025")</f>
        <v/>
      </c>
      <c r="W520">
        <f>HYPERLINK("https://klasma.github.io/Logging_1498/klagomålsmail/A 41346-2025 FSC-klagomål mail.docx", "A 41346-2025")</f>
        <v/>
      </c>
      <c r="X520">
        <f>HYPERLINK("https://klasma.github.io/Logging_1498/tillsyn/A 41346-2025 tillsynsbegäran.docx", "A 41346-2025")</f>
        <v/>
      </c>
      <c r="Y520">
        <f>HYPERLINK("https://klasma.github.io/Logging_1498/tillsynsmail/A 41346-2025 tillsynsbegäran mail.docx", "A 41346-2025")</f>
        <v/>
      </c>
    </row>
    <row r="521" ht="15" customHeight="1">
      <c r="A521" t="inlineStr">
        <is>
          <t>A 42017-2025</t>
        </is>
      </c>
      <c r="B521" s="1" t="n">
        <v>45903.58387731481</v>
      </c>
      <c r="C521" s="1" t="n">
        <v>46011</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29151-2025</t>
        </is>
      </c>
      <c r="B522" s="1" t="n">
        <v>45821.63221064815</v>
      </c>
      <c r="C522" s="1" t="n">
        <v>46011</v>
      </c>
      <c r="D522" t="inlineStr">
        <is>
          <t>VÄSTRA GÖTALANDS LÄN</t>
        </is>
      </c>
      <c r="E522" t="inlineStr">
        <is>
          <t>MARIESTAD</t>
        </is>
      </c>
      <c r="F522" t="inlineStr">
        <is>
          <t>Sveaskog</t>
        </is>
      </c>
      <c r="G522" t="n">
        <v>2.5</v>
      </c>
      <c r="H522" t="n">
        <v>0</v>
      </c>
      <c r="I522" t="n">
        <v>1</v>
      </c>
      <c r="J522" t="n">
        <v>0</v>
      </c>
      <c r="K522" t="n">
        <v>0</v>
      </c>
      <c r="L522" t="n">
        <v>0</v>
      </c>
      <c r="M522" t="n">
        <v>0</v>
      </c>
      <c r="N522" t="n">
        <v>0</v>
      </c>
      <c r="O522" t="n">
        <v>0</v>
      </c>
      <c r="P522" t="n">
        <v>0</v>
      </c>
      <c r="Q522" t="n">
        <v>1</v>
      </c>
      <c r="R522" s="2" t="inlineStr">
        <is>
          <t>Fällmossa</t>
        </is>
      </c>
      <c r="S522">
        <f>HYPERLINK("https://klasma.github.io/Logging_1493/artfynd/A 29151-2025 artfynd.xlsx", "A 29151-2025")</f>
        <v/>
      </c>
      <c r="T522">
        <f>HYPERLINK("https://klasma.github.io/Logging_1493/kartor/A 29151-2025 karta.png", "A 29151-2025")</f>
        <v/>
      </c>
      <c r="V522">
        <f>HYPERLINK("https://klasma.github.io/Logging_1493/klagomål/A 29151-2025 FSC-klagomål.docx", "A 29151-2025")</f>
        <v/>
      </c>
      <c r="W522">
        <f>HYPERLINK("https://klasma.github.io/Logging_1493/klagomålsmail/A 29151-2025 FSC-klagomål mail.docx", "A 29151-2025")</f>
        <v/>
      </c>
      <c r="X522">
        <f>HYPERLINK("https://klasma.github.io/Logging_1493/tillsyn/A 29151-2025 tillsynsbegäran.docx", "A 29151-2025")</f>
        <v/>
      </c>
      <c r="Y522">
        <f>HYPERLINK("https://klasma.github.io/Logging_1493/tillsynsmail/A 29151-2025 tillsynsbegäran mail.docx", "A 29151-2025")</f>
        <v/>
      </c>
    </row>
    <row r="523" ht="15" customHeight="1">
      <c r="A523" t="inlineStr">
        <is>
          <t>A 29295-2025</t>
        </is>
      </c>
      <c r="B523" s="1" t="n">
        <v>45824.44601851852</v>
      </c>
      <c r="C523" s="1" t="n">
        <v>46011</v>
      </c>
      <c r="D523" t="inlineStr">
        <is>
          <t>VÄSTRA GÖTALANDS LÄN</t>
        </is>
      </c>
      <c r="E523" t="inlineStr">
        <is>
          <t>BORÅS</t>
        </is>
      </c>
      <c r="G523" t="n">
        <v>7.5</v>
      </c>
      <c r="H523" t="n">
        <v>0</v>
      </c>
      <c r="I523" t="n">
        <v>0</v>
      </c>
      <c r="J523" t="n">
        <v>0</v>
      </c>
      <c r="K523" t="n">
        <v>1</v>
      </c>
      <c r="L523" t="n">
        <v>0</v>
      </c>
      <c r="M523" t="n">
        <v>0</v>
      </c>
      <c r="N523" t="n">
        <v>0</v>
      </c>
      <c r="O523" t="n">
        <v>1</v>
      </c>
      <c r="P523" t="n">
        <v>1</v>
      </c>
      <c r="Q523" t="n">
        <v>1</v>
      </c>
      <c r="R523" s="2" t="inlineStr">
        <is>
          <t>Brödtaggsvamp</t>
        </is>
      </c>
      <c r="S523">
        <f>HYPERLINK("https://klasma.github.io/Logging_1490/artfynd/A 29295-2025 artfynd.xlsx", "A 29295-2025")</f>
        <v/>
      </c>
      <c r="T523">
        <f>HYPERLINK("https://klasma.github.io/Logging_1490/kartor/A 29295-2025 karta.png", "A 29295-2025")</f>
        <v/>
      </c>
      <c r="V523">
        <f>HYPERLINK("https://klasma.github.io/Logging_1490/klagomål/A 29295-2025 FSC-klagomål.docx", "A 29295-2025")</f>
        <v/>
      </c>
      <c r="W523">
        <f>HYPERLINK("https://klasma.github.io/Logging_1490/klagomålsmail/A 29295-2025 FSC-klagomål mail.docx", "A 29295-2025")</f>
        <v/>
      </c>
      <c r="X523">
        <f>HYPERLINK("https://klasma.github.io/Logging_1490/tillsyn/A 29295-2025 tillsynsbegäran.docx", "A 29295-2025")</f>
        <v/>
      </c>
      <c r="Y523">
        <f>HYPERLINK("https://klasma.github.io/Logging_1490/tillsynsmail/A 29295-2025 tillsynsbegäran mail.docx", "A 29295-2025")</f>
        <v/>
      </c>
    </row>
    <row r="524" ht="15" customHeight="1">
      <c r="A524" t="inlineStr">
        <is>
          <t>A 7778-2021</t>
        </is>
      </c>
      <c r="B524" s="1" t="n">
        <v>44242</v>
      </c>
      <c r="C524" s="1" t="n">
        <v>46011</v>
      </c>
      <c r="D524" t="inlineStr">
        <is>
          <t>VÄSTRA GÖTALANDS LÄN</t>
        </is>
      </c>
      <c r="E524" t="inlineStr">
        <is>
          <t>STRÖMSTAD</t>
        </is>
      </c>
      <c r="G524" t="n">
        <v>7.5</v>
      </c>
      <c r="H524" t="n">
        <v>0</v>
      </c>
      <c r="I524" t="n">
        <v>1</v>
      </c>
      <c r="J524" t="n">
        <v>0</v>
      </c>
      <c r="K524" t="n">
        <v>0</v>
      </c>
      <c r="L524" t="n">
        <v>0</v>
      </c>
      <c r="M524" t="n">
        <v>0</v>
      </c>
      <c r="N524" t="n">
        <v>0</v>
      </c>
      <c r="O524" t="n">
        <v>0</v>
      </c>
      <c r="P524" t="n">
        <v>0</v>
      </c>
      <c r="Q524" t="n">
        <v>1</v>
      </c>
      <c r="R524" s="2" t="inlineStr">
        <is>
          <t>Strutbräken</t>
        </is>
      </c>
      <c r="S524">
        <f>HYPERLINK("https://klasma.github.io/Logging_1486/artfynd/A 7778-2021 artfynd.xlsx", "A 7778-2021")</f>
        <v/>
      </c>
      <c r="T524">
        <f>HYPERLINK("https://klasma.github.io/Logging_1486/kartor/A 7778-2021 karta.png", "A 7778-2021")</f>
        <v/>
      </c>
      <c r="V524">
        <f>HYPERLINK("https://klasma.github.io/Logging_1486/klagomål/A 7778-2021 FSC-klagomål.docx", "A 7778-2021")</f>
        <v/>
      </c>
      <c r="W524">
        <f>HYPERLINK("https://klasma.github.io/Logging_1486/klagomålsmail/A 7778-2021 FSC-klagomål mail.docx", "A 7778-2021")</f>
        <v/>
      </c>
      <c r="X524">
        <f>HYPERLINK("https://klasma.github.io/Logging_1486/tillsyn/A 7778-2021 tillsynsbegäran.docx", "A 7778-2021")</f>
        <v/>
      </c>
      <c r="Y524">
        <f>HYPERLINK("https://klasma.github.io/Logging_1486/tillsynsmail/A 7778-2021 tillsynsbegäran mail.docx", "A 7778-2021")</f>
        <v/>
      </c>
    </row>
    <row r="525" ht="15" customHeight="1">
      <c r="A525" t="inlineStr">
        <is>
          <t>A 29484-2025</t>
        </is>
      </c>
      <c r="B525" s="1" t="n">
        <v>45824.74599537037</v>
      </c>
      <c r="C525" s="1" t="n">
        <v>46011</v>
      </c>
      <c r="D525" t="inlineStr">
        <is>
          <t>VÄSTRA GÖTALANDS LÄN</t>
        </is>
      </c>
      <c r="E525" t="inlineStr">
        <is>
          <t>KARLSBORG</t>
        </is>
      </c>
      <c r="G525" t="n">
        <v>1.4</v>
      </c>
      <c r="H525" t="n">
        <v>1</v>
      </c>
      <c r="I525" t="n">
        <v>0</v>
      </c>
      <c r="J525" t="n">
        <v>0</v>
      </c>
      <c r="K525" t="n">
        <v>0</v>
      </c>
      <c r="L525" t="n">
        <v>0</v>
      </c>
      <c r="M525" t="n">
        <v>0</v>
      </c>
      <c r="N525" t="n">
        <v>0</v>
      </c>
      <c r="O525" t="n">
        <v>0</v>
      </c>
      <c r="P525" t="n">
        <v>0</v>
      </c>
      <c r="Q525" t="n">
        <v>1</v>
      </c>
      <c r="R525" s="2" t="inlineStr">
        <is>
          <t>Blåsippa</t>
        </is>
      </c>
      <c r="S525">
        <f>HYPERLINK("https://klasma.github.io/Logging_1446/artfynd/A 29484-2025 artfynd.xlsx", "A 29484-2025")</f>
        <v/>
      </c>
      <c r="T525">
        <f>HYPERLINK("https://klasma.github.io/Logging_1446/kartor/A 29484-2025 karta.png", "A 29484-2025")</f>
        <v/>
      </c>
      <c r="V525">
        <f>HYPERLINK("https://klasma.github.io/Logging_1446/klagomål/A 29484-2025 FSC-klagomål.docx", "A 29484-2025")</f>
        <v/>
      </c>
      <c r="W525">
        <f>HYPERLINK("https://klasma.github.io/Logging_1446/klagomålsmail/A 29484-2025 FSC-klagomål mail.docx", "A 29484-2025")</f>
        <v/>
      </c>
      <c r="X525">
        <f>HYPERLINK("https://klasma.github.io/Logging_1446/tillsyn/A 29484-2025 tillsynsbegäran.docx", "A 29484-2025")</f>
        <v/>
      </c>
      <c r="Y525">
        <f>HYPERLINK("https://klasma.github.io/Logging_1446/tillsynsmail/A 29484-2025 tillsynsbegäran mail.docx", "A 29484-2025")</f>
        <v/>
      </c>
    </row>
    <row r="526" ht="15" customHeight="1">
      <c r="A526" t="inlineStr">
        <is>
          <t>A 29152-2025</t>
        </is>
      </c>
      <c r="B526" s="1" t="n">
        <v>45821.63375</v>
      </c>
      <c r="C526" s="1" t="n">
        <v>46011</v>
      </c>
      <c r="D526" t="inlineStr">
        <is>
          <t>VÄSTRA GÖTALANDS LÄN</t>
        </is>
      </c>
      <c r="E526" t="inlineStr">
        <is>
          <t>MARIESTAD</t>
        </is>
      </c>
      <c r="F526" t="inlineStr">
        <is>
          <t>Sveaskog</t>
        </is>
      </c>
      <c r="G526" t="n">
        <v>4.6</v>
      </c>
      <c r="H526" t="n">
        <v>0</v>
      </c>
      <c r="I526" t="n">
        <v>1</v>
      </c>
      <c r="J526" t="n">
        <v>0</v>
      </c>
      <c r="K526" t="n">
        <v>0</v>
      </c>
      <c r="L526" t="n">
        <v>0</v>
      </c>
      <c r="M526" t="n">
        <v>0</v>
      </c>
      <c r="N526" t="n">
        <v>0</v>
      </c>
      <c r="O526" t="n">
        <v>0</v>
      </c>
      <c r="P526" t="n">
        <v>0</v>
      </c>
      <c r="Q526" t="n">
        <v>1</v>
      </c>
      <c r="R526" s="2" t="inlineStr">
        <is>
          <t>Blodticka</t>
        </is>
      </c>
      <c r="S526">
        <f>HYPERLINK("https://klasma.github.io/Logging_1493/artfynd/A 29152-2025 artfynd.xlsx", "A 29152-2025")</f>
        <v/>
      </c>
      <c r="T526">
        <f>HYPERLINK("https://klasma.github.io/Logging_1493/kartor/A 29152-2025 karta.png", "A 29152-2025")</f>
        <v/>
      </c>
      <c r="V526">
        <f>HYPERLINK("https://klasma.github.io/Logging_1493/klagomål/A 29152-2025 FSC-klagomål.docx", "A 29152-2025")</f>
        <v/>
      </c>
      <c r="W526">
        <f>HYPERLINK("https://klasma.github.io/Logging_1493/klagomålsmail/A 29152-2025 FSC-klagomål mail.docx", "A 29152-2025")</f>
        <v/>
      </c>
      <c r="X526">
        <f>HYPERLINK("https://klasma.github.io/Logging_1493/tillsyn/A 29152-2025 tillsynsbegäran.docx", "A 29152-2025")</f>
        <v/>
      </c>
      <c r="Y526">
        <f>HYPERLINK("https://klasma.github.io/Logging_1493/tillsynsmail/A 29152-2025 tillsynsbegäran mail.docx", "A 29152-2025")</f>
        <v/>
      </c>
    </row>
    <row r="527" ht="15" customHeight="1">
      <c r="A527" t="inlineStr">
        <is>
          <t>A 29828-2025</t>
        </is>
      </c>
      <c r="B527" s="1" t="n">
        <v>45825.88996527778</v>
      </c>
      <c r="C527" s="1" t="n">
        <v>46011</v>
      </c>
      <c r="D527" t="inlineStr">
        <is>
          <t>VÄSTRA GÖTALANDS LÄN</t>
        </is>
      </c>
      <c r="E527" t="inlineStr">
        <is>
          <t>BENGTSFORS</t>
        </is>
      </c>
      <c r="G527" t="n">
        <v>8.800000000000001</v>
      </c>
      <c r="H527" t="n">
        <v>0</v>
      </c>
      <c r="I527" t="n">
        <v>1</v>
      </c>
      <c r="J527" t="n">
        <v>0</v>
      </c>
      <c r="K527" t="n">
        <v>0</v>
      </c>
      <c r="L527" t="n">
        <v>0</v>
      </c>
      <c r="M527" t="n">
        <v>0</v>
      </c>
      <c r="N527" t="n">
        <v>0</v>
      </c>
      <c r="O527" t="n">
        <v>0</v>
      </c>
      <c r="P527" t="n">
        <v>0</v>
      </c>
      <c r="Q527" t="n">
        <v>1</v>
      </c>
      <c r="R527" s="2" t="inlineStr">
        <is>
          <t>Stor revmossa</t>
        </is>
      </c>
      <c r="S527">
        <f>HYPERLINK("https://klasma.github.io/Logging_1460/artfynd/A 29828-2025 artfynd.xlsx", "A 29828-2025")</f>
        <v/>
      </c>
      <c r="T527">
        <f>HYPERLINK("https://klasma.github.io/Logging_1460/kartor/A 29828-2025 karta.png", "A 29828-2025")</f>
        <v/>
      </c>
      <c r="V527">
        <f>HYPERLINK("https://klasma.github.io/Logging_1460/klagomål/A 29828-2025 FSC-klagomål.docx", "A 29828-2025")</f>
        <v/>
      </c>
      <c r="W527">
        <f>HYPERLINK("https://klasma.github.io/Logging_1460/klagomålsmail/A 29828-2025 FSC-klagomål mail.docx", "A 29828-2025")</f>
        <v/>
      </c>
      <c r="X527">
        <f>HYPERLINK("https://klasma.github.io/Logging_1460/tillsyn/A 29828-2025 tillsynsbegäran.docx", "A 29828-2025")</f>
        <v/>
      </c>
      <c r="Y527">
        <f>HYPERLINK("https://klasma.github.io/Logging_1460/tillsynsmail/A 29828-2025 tillsynsbegäran mail.docx", "A 29828-2025")</f>
        <v/>
      </c>
    </row>
    <row r="528" ht="15" customHeight="1">
      <c r="A528" t="inlineStr">
        <is>
          <t>A 27406-2025</t>
        </is>
      </c>
      <c r="B528" s="1" t="n">
        <v>45812</v>
      </c>
      <c r="C528" s="1" t="n">
        <v>46011</v>
      </c>
      <c r="D528" t="inlineStr">
        <is>
          <t>VÄSTRA GÖTALANDS LÄN</t>
        </is>
      </c>
      <c r="E528" t="inlineStr">
        <is>
          <t>ÅMÅL</t>
        </is>
      </c>
      <c r="F528" t="inlineStr">
        <is>
          <t>Kyrkan</t>
        </is>
      </c>
      <c r="G528" t="n">
        <v>4.8</v>
      </c>
      <c r="H528" t="n">
        <v>0</v>
      </c>
      <c r="I528" t="n">
        <v>1</v>
      </c>
      <c r="J528" t="n">
        <v>0</v>
      </c>
      <c r="K528" t="n">
        <v>0</v>
      </c>
      <c r="L528" t="n">
        <v>0</v>
      </c>
      <c r="M528" t="n">
        <v>0</v>
      </c>
      <c r="N528" t="n">
        <v>0</v>
      </c>
      <c r="O528" t="n">
        <v>0</v>
      </c>
      <c r="P528" t="n">
        <v>0</v>
      </c>
      <c r="Q528" t="n">
        <v>1</v>
      </c>
      <c r="R528" s="2" t="inlineStr">
        <is>
          <t>Kambräken</t>
        </is>
      </c>
      <c r="S528">
        <f>HYPERLINK("https://klasma.github.io/Logging_1492/artfynd/A 27406-2025 artfynd.xlsx", "A 27406-2025")</f>
        <v/>
      </c>
      <c r="T528">
        <f>HYPERLINK("https://klasma.github.io/Logging_1492/kartor/A 27406-2025 karta.png", "A 27406-2025")</f>
        <v/>
      </c>
      <c r="V528">
        <f>HYPERLINK("https://klasma.github.io/Logging_1492/klagomål/A 27406-2025 FSC-klagomål.docx", "A 27406-2025")</f>
        <v/>
      </c>
      <c r="W528">
        <f>HYPERLINK("https://klasma.github.io/Logging_1492/klagomålsmail/A 27406-2025 FSC-klagomål mail.docx", "A 27406-2025")</f>
        <v/>
      </c>
      <c r="X528">
        <f>HYPERLINK("https://klasma.github.io/Logging_1492/tillsyn/A 27406-2025 tillsynsbegäran.docx", "A 27406-2025")</f>
        <v/>
      </c>
      <c r="Y528">
        <f>HYPERLINK("https://klasma.github.io/Logging_1492/tillsynsmail/A 27406-2025 tillsynsbegäran mail.docx", "A 27406-2025")</f>
        <v/>
      </c>
    </row>
    <row r="529" ht="15" customHeight="1">
      <c r="A529" t="inlineStr">
        <is>
          <t>A 14259-2025</t>
        </is>
      </c>
      <c r="B529" s="1" t="n">
        <v>45740.62429398148</v>
      </c>
      <c r="C529" s="1" t="n">
        <v>46011</v>
      </c>
      <c r="D529" t="inlineStr">
        <is>
          <t>VÄSTRA GÖTALANDS LÄN</t>
        </is>
      </c>
      <c r="E529" t="inlineStr">
        <is>
          <t>HÄRRYDA</t>
        </is>
      </c>
      <c r="G529" t="n">
        <v>1.9</v>
      </c>
      <c r="H529" t="n">
        <v>0</v>
      </c>
      <c r="I529" t="n">
        <v>0</v>
      </c>
      <c r="J529" t="n">
        <v>0</v>
      </c>
      <c r="K529" t="n">
        <v>0</v>
      </c>
      <c r="L529" t="n">
        <v>1</v>
      </c>
      <c r="M529" t="n">
        <v>0</v>
      </c>
      <c r="N529" t="n">
        <v>0</v>
      </c>
      <c r="O529" t="n">
        <v>1</v>
      </c>
      <c r="P529" t="n">
        <v>1</v>
      </c>
      <c r="Q529" t="n">
        <v>1</v>
      </c>
      <c r="R529" s="2" t="inlineStr">
        <is>
          <t>Ask</t>
        </is>
      </c>
      <c r="S529">
        <f>HYPERLINK("https://klasma.github.io/Logging_1401/artfynd/A 14259-2025 artfynd.xlsx", "A 14259-2025")</f>
        <v/>
      </c>
      <c r="T529">
        <f>HYPERLINK("https://klasma.github.io/Logging_1401/kartor/A 14259-2025 karta.png", "A 14259-2025")</f>
        <v/>
      </c>
      <c r="V529">
        <f>HYPERLINK("https://klasma.github.io/Logging_1401/klagomål/A 14259-2025 FSC-klagomål.docx", "A 14259-2025")</f>
        <v/>
      </c>
      <c r="W529">
        <f>HYPERLINK("https://klasma.github.io/Logging_1401/klagomålsmail/A 14259-2025 FSC-klagomål mail.docx", "A 14259-2025")</f>
        <v/>
      </c>
      <c r="X529">
        <f>HYPERLINK("https://klasma.github.io/Logging_1401/tillsyn/A 14259-2025 tillsynsbegäran.docx", "A 14259-2025")</f>
        <v/>
      </c>
      <c r="Y529">
        <f>HYPERLINK("https://klasma.github.io/Logging_1401/tillsynsmail/A 14259-2025 tillsynsbegäran mail.docx", "A 14259-2025")</f>
        <v/>
      </c>
    </row>
    <row r="530" ht="15" customHeight="1">
      <c r="A530" t="inlineStr">
        <is>
          <t>A 13586-2025</t>
        </is>
      </c>
      <c r="B530" s="1" t="n">
        <v>45736.59434027778</v>
      </c>
      <c r="C530" s="1" t="n">
        <v>46011</v>
      </c>
      <c r="D530" t="inlineStr">
        <is>
          <t>VÄSTRA GÖTALANDS LÄN</t>
        </is>
      </c>
      <c r="E530" t="inlineStr">
        <is>
          <t>HÄRRYDA</t>
        </is>
      </c>
      <c r="G530" t="n">
        <v>2.4</v>
      </c>
      <c r="H530" t="n">
        <v>0</v>
      </c>
      <c r="I530" t="n">
        <v>1</v>
      </c>
      <c r="J530" t="n">
        <v>0</v>
      </c>
      <c r="K530" t="n">
        <v>0</v>
      </c>
      <c r="L530" t="n">
        <v>0</v>
      </c>
      <c r="M530" t="n">
        <v>0</v>
      </c>
      <c r="N530" t="n">
        <v>0</v>
      </c>
      <c r="O530" t="n">
        <v>0</v>
      </c>
      <c r="P530" t="n">
        <v>0</v>
      </c>
      <c r="Q530" t="n">
        <v>1</v>
      </c>
      <c r="R530" s="2" t="inlineStr">
        <is>
          <t>Smal svampklubba</t>
        </is>
      </c>
      <c r="S530">
        <f>HYPERLINK("https://klasma.github.io/Logging_1401/artfynd/A 13586-2025 artfynd.xlsx", "A 13586-2025")</f>
        <v/>
      </c>
      <c r="T530">
        <f>HYPERLINK("https://klasma.github.io/Logging_1401/kartor/A 13586-2025 karta.png", "A 13586-2025")</f>
        <v/>
      </c>
      <c r="V530">
        <f>HYPERLINK("https://klasma.github.io/Logging_1401/klagomål/A 13586-2025 FSC-klagomål.docx", "A 13586-2025")</f>
        <v/>
      </c>
      <c r="W530">
        <f>HYPERLINK("https://klasma.github.io/Logging_1401/klagomålsmail/A 13586-2025 FSC-klagomål mail.docx", "A 13586-2025")</f>
        <v/>
      </c>
      <c r="X530">
        <f>HYPERLINK("https://klasma.github.io/Logging_1401/tillsyn/A 13586-2025 tillsynsbegäran.docx", "A 13586-2025")</f>
        <v/>
      </c>
      <c r="Y530">
        <f>HYPERLINK("https://klasma.github.io/Logging_1401/tillsynsmail/A 13586-2025 tillsynsbegäran mail.docx", "A 13586-2025")</f>
        <v/>
      </c>
    </row>
    <row r="531" ht="15" customHeight="1">
      <c r="A531" t="inlineStr">
        <is>
          <t>A 11202-2025</t>
        </is>
      </c>
      <c r="B531" s="1" t="n">
        <v>45726.31182870371</v>
      </c>
      <c r="C531" s="1" t="n">
        <v>46011</v>
      </c>
      <c r="D531" t="inlineStr">
        <is>
          <t>VÄSTRA GÖTALANDS LÄN</t>
        </is>
      </c>
      <c r="E531" t="inlineStr">
        <is>
          <t>SVENLJUNGA</t>
        </is>
      </c>
      <c r="G531" t="n">
        <v>13.4</v>
      </c>
      <c r="H531" t="n">
        <v>1</v>
      </c>
      <c r="I531" t="n">
        <v>0</v>
      </c>
      <c r="J531" t="n">
        <v>1</v>
      </c>
      <c r="K531" t="n">
        <v>0</v>
      </c>
      <c r="L531" t="n">
        <v>0</v>
      </c>
      <c r="M531" t="n">
        <v>0</v>
      </c>
      <c r="N531" t="n">
        <v>0</v>
      </c>
      <c r="O531" t="n">
        <v>1</v>
      </c>
      <c r="P531" t="n">
        <v>0</v>
      </c>
      <c r="Q531" t="n">
        <v>1</v>
      </c>
      <c r="R531" s="2" t="inlineStr">
        <is>
          <t>Talltita</t>
        </is>
      </c>
      <c r="S531">
        <f>HYPERLINK("https://klasma.github.io/Logging_1465/artfynd/A 11202-2025 artfynd.xlsx", "A 11202-2025")</f>
        <v/>
      </c>
      <c r="T531">
        <f>HYPERLINK("https://klasma.github.io/Logging_1465/kartor/A 11202-2025 karta.png", "A 11202-2025")</f>
        <v/>
      </c>
      <c r="V531">
        <f>HYPERLINK("https://klasma.github.io/Logging_1465/klagomål/A 11202-2025 FSC-klagomål.docx", "A 11202-2025")</f>
        <v/>
      </c>
      <c r="W531">
        <f>HYPERLINK("https://klasma.github.io/Logging_1465/klagomålsmail/A 11202-2025 FSC-klagomål mail.docx", "A 11202-2025")</f>
        <v/>
      </c>
      <c r="X531">
        <f>HYPERLINK("https://klasma.github.io/Logging_1465/tillsyn/A 11202-2025 tillsynsbegäran.docx", "A 11202-2025")</f>
        <v/>
      </c>
      <c r="Y531">
        <f>HYPERLINK("https://klasma.github.io/Logging_1465/tillsynsmail/A 11202-2025 tillsynsbegäran mail.docx", "A 11202-2025")</f>
        <v/>
      </c>
      <c r="Z531">
        <f>HYPERLINK("https://klasma.github.io/Logging_1465/fåglar/A 11202-2025 prioriterade fågelarter.docx", "A 11202-2025")</f>
        <v/>
      </c>
    </row>
    <row r="532" ht="15" customHeight="1">
      <c r="A532" t="inlineStr">
        <is>
          <t>A 3899-2021</t>
        </is>
      </c>
      <c r="B532" s="1" t="n">
        <v>44217</v>
      </c>
      <c r="C532" s="1" t="n">
        <v>46011</v>
      </c>
      <c r="D532" t="inlineStr">
        <is>
          <t>VÄSTRA GÖTALANDS LÄN</t>
        </is>
      </c>
      <c r="E532" t="inlineStr">
        <is>
          <t>MUNKEDAL</t>
        </is>
      </c>
      <c r="G532" t="n">
        <v>34.1</v>
      </c>
      <c r="H532" t="n">
        <v>1</v>
      </c>
      <c r="I532" t="n">
        <v>0</v>
      </c>
      <c r="J532" t="n">
        <v>0</v>
      </c>
      <c r="K532" t="n">
        <v>0</v>
      </c>
      <c r="L532" t="n">
        <v>0</v>
      </c>
      <c r="M532" t="n">
        <v>0</v>
      </c>
      <c r="N532" t="n">
        <v>0</v>
      </c>
      <c r="O532" t="n">
        <v>0</v>
      </c>
      <c r="P532" t="n">
        <v>0</v>
      </c>
      <c r="Q532" t="n">
        <v>1</v>
      </c>
      <c r="R532" s="2" t="inlineStr">
        <is>
          <t>Vanlig groda</t>
        </is>
      </c>
      <c r="S532">
        <f>HYPERLINK("https://klasma.github.io/Logging_1430/artfynd/A 3899-2021 artfynd.xlsx", "A 3899-2021")</f>
        <v/>
      </c>
      <c r="T532">
        <f>HYPERLINK("https://klasma.github.io/Logging_1430/kartor/A 3899-2021 karta.png", "A 3899-2021")</f>
        <v/>
      </c>
      <c r="V532">
        <f>HYPERLINK("https://klasma.github.io/Logging_1430/klagomål/A 3899-2021 FSC-klagomål.docx", "A 3899-2021")</f>
        <v/>
      </c>
      <c r="W532">
        <f>HYPERLINK("https://klasma.github.io/Logging_1430/klagomålsmail/A 3899-2021 FSC-klagomål mail.docx", "A 3899-2021")</f>
        <v/>
      </c>
      <c r="X532">
        <f>HYPERLINK("https://klasma.github.io/Logging_1430/tillsyn/A 3899-2021 tillsynsbegäran.docx", "A 3899-2021")</f>
        <v/>
      </c>
      <c r="Y532">
        <f>HYPERLINK("https://klasma.github.io/Logging_1430/tillsynsmail/A 3899-2021 tillsynsbegäran mail.docx", "A 3899-2021")</f>
        <v/>
      </c>
    </row>
    <row r="533" ht="15" customHeight="1">
      <c r="A533" t="inlineStr">
        <is>
          <t>A 2842-2025</t>
        </is>
      </c>
      <c r="B533" s="1" t="n">
        <v>45677</v>
      </c>
      <c r="C533" s="1" t="n">
        <v>46011</v>
      </c>
      <c r="D533" t="inlineStr">
        <is>
          <t>VÄSTRA GÖTALANDS LÄN</t>
        </is>
      </c>
      <c r="E533" t="inlineStr">
        <is>
          <t>MÖLNDAL</t>
        </is>
      </c>
      <c r="G533" t="n">
        <v>2.7</v>
      </c>
      <c r="H533" t="n">
        <v>1</v>
      </c>
      <c r="I533" t="n">
        <v>0</v>
      </c>
      <c r="J533" t="n">
        <v>0</v>
      </c>
      <c r="K533" t="n">
        <v>0</v>
      </c>
      <c r="L533" t="n">
        <v>0</v>
      </c>
      <c r="M533" t="n">
        <v>0</v>
      </c>
      <c r="N533" t="n">
        <v>0</v>
      </c>
      <c r="O533" t="n">
        <v>0</v>
      </c>
      <c r="P533" t="n">
        <v>0</v>
      </c>
      <c r="Q533" t="n">
        <v>1</v>
      </c>
      <c r="R533" s="2" t="inlineStr">
        <is>
          <t>Tjäder</t>
        </is>
      </c>
      <c r="S533">
        <f>HYPERLINK("https://klasma.github.io/Logging_1481/artfynd/A 2842-2025 artfynd.xlsx", "A 2842-2025")</f>
        <v/>
      </c>
      <c r="T533">
        <f>HYPERLINK("https://klasma.github.io/Logging_1481/kartor/A 2842-2025 karta.png", "A 2842-2025")</f>
        <v/>
      </c>
      <c r="V533">
        <f>HYPERLINK("https://klasma.github.io/Logging_1481/klagomål/A 2842-2025 FSC-klagomål.docx", "A 2842-2025")</f>
        <v/>
      </c>
      <c r="W533">
        <f>HYPERLINK("https://klasma.github.io/Logging_1481/klagomålsmail/A 2842-2025 FSC-klagomål mail.docx", "A 2842-2025")</f>
        <v/>
      </c>
      <c r="X533">
        <f>HYPERLINK("https://klasma.github.io/Logging_1481/tillsyn/A 2842-2025 tillsynsbegäran.docx", "A 2842-2025")</f>
        <v/>
      </c>
      <c r="Y533">
        <f>HYPERLINK("https://klasma.github.io/Logging_1481/tillsynsmail/A 2842-2025 tillsynsbegäran mail.docx", "A 2842-2025")</f>
        <v/>
      </c>
      <c r="Z533">
        <f>HYPERLINK("https://klasma.github.io/Logging_1481/fåglar/A 2842-2025 prioriterade fågelarter.docx", "A 2842-2025")</f>
        <v/>
      </c>
    </row>
    <row r="534" ht="15" customHeight="1">
      <c r="A534" t="inlineStr">
        <is>
          <t>A 13902-2025</t>
        </is>
      </c>
      <c r="B534" s="1" t="n">
        <v>45737.63446759259</v>
      </c>
      <c r="C534" s="1" t="n">
        <v>46011</v>
      </c>
      <c r="D534" t="inlineStr">
        <is>
          <t>VÄSTRA GÖTALANDS LÄN</t>
        </is>
      </c>
      <c r="E534" t="inlineStr">
        <is>
          <t>ALE</t>
        </is>
      </c>
      <c r="G534" t="n">
        <v>1.4</v>
      </c>
      <c r="H534" t="n">
        <v>1</v>
      </c>
      <c r="I534" t="n">
        <v>0</v>
      </c>
      <c r="J534" t="n">
        <v>1</v>
      </c>
      <c r="K534" t="n">
        <v>0</v>
      </c>
      <c r="L534" t="n">
        <v>0</v>
      </c>
      <c r="M534" t="n">
        <v>0</v>
      </c>
      <c r="N534" t="n">
        <v>0</v>
      </c>
      <c r="O534" t="n">
        <v>1</v>
      </c>
      <c r="P534" t="n">
        <v>0</v>
      </c>
      <c r="Q534" t="n">
        <v>1</v>
      </c>
      <c r="R534" s="2" t="inlineStr">
        <is>
          <t>Svartvit flugsnappare</t>
        </is>
      </c>
      <c r="S534">
        <f>HYPERLINK("https://klasma.github.io/Logging_1440/artfynd/A 13902-2025 artfynd.xlsx", "A 13902-2025")</f>
        <v/>
      </c>
      <c r="T534">
        <f>HYPERLINK("https://klasma.github.io/Logging_1440/kartor/A 13902-2025 karta.png", "A 13902-2025")</f>
        <v/>
      </c>
      <c r="V534">
        <f>HYPERLINK("https://klasma.github.io/Logging_1440/klagomål/A 13902-2025 FSC-klagomål.docx", "A 13902-2025")</f>
        <v/>
      </c>
      <c r="W534">
        <f>HYPERLINK("https://klasma.github.io/Logging_1440/klagomålsmail/A 13902-2025 FSC-klagomål mail.docx", "A 13902-2025")</f>
        <v/>
      </c>
      <c r="X534">
        <f>HYPERLINK("https://klasma.github.io/Logging_1440/tillsyn/A 13902-2025 tillsynsbegäran.docx", "A 13902-2025")</f>
        <v/>
      </c>
      <c r="Y534">
        <f>HYPERLINK("https://klasma.github.io/Logging_1440/tillsynsmail/A 13902-2025 tillsynsbegäran mail.docx", "A 13902-2025")</f>
        <v/>
      </c>
      <c r="Z534">
        <f>HYPERLINK("https://klasma.github.io/Logging_1440/fåglar/A 13902-2025 prioriterade fågelarter.docx", "A 13902-2025")</f>
        <v/>
      </c>
    </row>
    <row r="535" ht="15" customHeight="1">
      <c r="A535" t="inlineStr">
        <is>
          <t>A 55686-2023</t>
        </is>
      </c>
      <c r="B535" s="1" t="n">
        <v>45239.34966435185</v>
      </c>
      <c r="C535" s="1" t="n">
        <v>46011</v>
      </c>
      <c r="D535" t="inlineStr">
        <is>
          <t>VÄSTRA GÖTALANDS LÄN</t>
        </is>
      </c>
      <c r="E535" t="inlineStr">
        <is>
          <t>HÄRRYDA</t>
        </is>
      </c>
      <c r="G535" t="n">
        <v>6.6</v>
      </c>
      <c r="H535" t="n">
        <v>1</v>
      </c>
      <c r="I535" t="n">
        <v>0</v>
      </c>
      <c r="J535" t="n">
        <v>0</v>
      </c>
      <c r="K535" t="n">
        <v>0</v>
      </c>
      <c r="L535" t="n">
        <v>0</v>
      </c>
      <c r="M535" t="n">
        <v>0</v>
      </c>
      <c r="N535" t="n">
        <v>0</v>
      </c>
      <c r="O535" t="n">
        <v>0</v>
      </c>
      <c r="P535" t="n">
        <v>0</v>
      </c>
      <c r="Q535" t="n">
        <v>1</v>
      </c>
      <c r="R535" s="2" t="inlineStr">
        <is>
          <t>Tjäder</t>
        </is>
      </c>
      <c r="S535">
        <f>HYPERLINK("https://klasma.github.io/Logging_1401/artfynd/A 55686-2023 artfynd.xlsx", "A 55686-2023")</f>
        <v/>
      </c>
      <c r="T535">
        <f>HYPERLINK("https://klasma.github.io/Logging_1401/kartor/A 55686-2023 karta.png", "A 55686-2023")</f>
        <v/>
      </c>
      <c r="V535">
        <f>HYPERLINK("https://klasma.github.io/Logging_1401/klagomål/A 55686-2023 FSC-klagomål.docx", "A 55686-2023")</f>
        <v/>
      </c>
      <c r="W535">
        <f>HYPERLINK("https://klasma.github.io/Logging_1401/klagomålsmail/A 55686-2023 FSC-klagomål mail.docx", "A 55686-2023")</f>
        <v/>
      </c>
      <c r="X535">
        <f>HYPERLINK("https://klasma.github.io/Logging_1401/tillsyn/A 55686-2023 tillsynsbegäran.docx", "A 55686-2023")</f>
        <v/>
      </c>
      <c r="Y535">
        <f>HYPERLINK("https://klasma.github.io/Logging_1401/tillsynsmail/A 55686-2023 tillsynsbegäran mail.docx", "A 55686-2023")</f>
        <v/>
      </c>
      <c r="Z535">
        <f>HYPERLINK("https://klasma.github.io/Logging_1401/fåglar/A 55686-2023 prioriterade fågelarter.docx", "A 55686-2023")</f>
        <v/>
      </c>
    </row>
    <row r="536" ht="15" customHeight="1">
      <c r="A536" t="inlineStr">
        <is>
          <t>A 30829-2025</t>
        </is>
      </c>
      <c r="B536" s="1" t="n">
        <v>45831.68372685185</v>
      </c>
      <c r="C536" s="1" t="n">
        <v>46011</v>
      </c>
      <c r="D536" t="inlineStr">
        <is>
          <t>VÄSTRA GÖTALANDS LÄN</t>
        </is>
      </c>
      <c r="E536" t="inlineStr">
        <is>
          <t>TRANEMO</t>
        </is>
      </c>
      <c r="G536" t="n">
        <v>7.9</v>
      </c>
      <c r="H536" t="n">
        <v>1</v>
      </c>
      <c r="I536" t="n">
        <v>0</v>
      </c>
      <c r="J536" t="n">
        <v>0</v>
      </c>
      <c r="K536" t="n">
        <v>0</v>
      </c>
      <c r="L536" t="n">
        <v>0</v>
      </c>
      <c r="M536" t="n">
        <v>0</v>
      </c>
      <c r="N536" t="n">
        <v>0</v>
      </c>
      <c r="O536" t="n">
        <v>0</v>
      </c>
      <c r="P536" t="n">
        <v>0</v>
      </c>
      <c r="Q536" t="n">
        <v>1</v>
      </c>
      <c r="R536" s="2" t="inlineStr">
        <is>
          <t>Gröngöling</t>
        </is>
      </c>
      <c r="S536">
        <f>HYPERLINK("https://klasma.github.io/Logging_1452/artfynd/A 30829-2025 artfynd.xlsx", "A 30829-2025")</f>
        <v/>
      </c>
      <c r="T536">
        <f>HYPERLINK("https://klasma.github.io/Logging_1452/kartor/A 30829-2025 karta.png", "A 30829-2025")</f>
        <v/>
      </c>
      <c r="V536">
        <f>HYPERLINK("https://klasma.github.io/Logging_1452/klagomål/A 30829-2025 FSC-klagomål.docx", "A 30829-2025")</f>
        <v/>
      </c>
      <c r="W536">
        <f>HYPERLINK("https://klasma.github.io/Logging_1452/klagomålsmail/A 30829-2025 FSC-klagomål mail.docx", "A 30829-2025")</f>
        <v/>
      </c>
      <c r="X536">
        <f>HYPERLINK("https://klasma.github.io/Logging_1452/tillsyn/A 30829-2025 tillsynsbegäran.docx", "A 30829-2025")</f>
        <v/>
      </c>
      <c r="Y536">
        <f>HYPERLINK("https://klasma.github.io/Logging_1452/tillsynsmail/A 30829-2025 tillsynsbegäran mail.docx", "A 30829-2025")</f>
        <v/>
      </c>
      <c r="Z536">
        <f>HYPERLINK("https://klasma.github.io/Logging_1452/fåglar/A 30829-2025 prioriterade fågelarter.docx", "A 30829-2025")</f>
        <v/>
      </c>
    </row>
    <row r="537" ht="15" customHeight="1">
      <c r="A537" t="inlineStr">
        <is>
          <t>A 43531-2025</t>
        </is>
      </c>
      <c r="B537" s="1" t="n">
        <v>45911</v>
      </c>
      <c r="C537" s="1" t="n">
        <v>46011</v>
      </c>
      <c r="D537" t="inlineStr">
        <is>
          <t>VÄSTRA GÖTALANDS LÄN</t>
        </is>
      </c>
      <c r="E537" t="inlineStr">
        <is>
          <t>MELLERUD</t>
        </is>
      </c>
      <c r="F537" t="inlineStr">
        <is>
          <t>Övriga Aktiebolag</t>
        </is>
      </c>
      <c r="G537" t="n">
        <v>8</v>
      </c>
      <c r="H537" t="n">
        <v>1</v>
      </c>
      <c r="I537" t="n">
        <v>0</v>
      </c>
      <c r="J537" t="n">
        <v>0</v>
      </c>
      <c r="K537" t="n">
        <v>0</v>
      </c>
      <c r="L537" t="n">
        <v>0</v>
      </c>
      <c r="M537" t="n">
        <v>0</v>
      </c>
      <c r="N537" t="n">
        <v>0</v>
      </c>
      <c r="O537" t="n">
        <v>0</v>
      </c>
      <c r="P537" t="n">
        <v>0</v>
      </c>
      <c r="Q537" t="n">
        <v>1</v>
      </c>
      <c r="R537" s="2" t="inlineStr">
        <is>
          <t>Kungsfågel</t>
        </is>
      </c>
      <c r="S537">
        <f>HYPERLINK("https://klasma.github.io/Logging_1461/artfynd/A 43531-2025 artfynd.xlsx", "A 43531-2025")</f>
        <v/>
      </c>
      <c r="T537">
        <f>HYPERLINK("https://klasma.github.io/Logging_1461/kartor/A 43531-2025 karta.png", "A 43531-2025")</f>
        <v/>
      </c>
      <c r="V537">
        <f>HYPERLINK("https://klasma.github.io/Logging_1461/klagomål/A 43531-2025 FSC-klagomål.docx", "A 43531-2025")</f>
        <v/>
      </c>
      <c r="W537">
        <f>HYPERLINK("https://klasma.github.io/Logging_1461/klagomålsmail/A 43531-2025 FSC-klagomål mail.docx", "A 43531-2025")</f>
        <v/>
      </c>
      <c r="X537">
        <f>HYPERLINK("https://klasma.github.io/Logging_1461/tillsyn/A 43531-2025 tillsynsbegäran.docx", "A 43531-2025")</f>
        <v/>
      </c>
      <c r="Y537">
        <f>HYPERLINK("https://klasma.github.io/Logging_1461/tillsynsmail/A 43531-2025 tillsynsbegäran mail.docx", "A 43531-2025")</f>
        <v/>
      </c>
      <c r="Z537">
        <f>HYPERLINK("https://klasma.github.io/Logging_1461/fåglar/A 43531-2025 prioriterade fågelarter.docx", "A 43531-2025")</f>
        <v/>
      </c>
    </row>
    <row r="538" ht="15" customHeight="1">
      <c r="A538" t="inlineStr">
        <is>
          <t>A 43580-2025</t>
        </is>
      </c>
      <c r="B538" s="1" t="n">
        <v>45911.6475462963</v>
      </c>
      <c r="C538" s="1" t="n">
        <v>46011</v>
      </c>
      <c r="D538" t="inlineStr">
        <is>
          <t>VÄSTRA GÖTALANDS LÄN</t>
        </is>
      </c>
      <c r="E538" t="inlineStr">
        <is>
          <t>MARIESTAD</t>
        </is>
      </c>
      <c r="G538" t="n">
        <v>2.2</v>
      </c>
      <c r="H538" t="n">
        <v>1</v>
      </c>
      <c r="I538" t="n">
        <v>0</v>
      </c>
      <c r="J538" t="n">
        <v>0</v>
      </c>
      <c r="K538" t="n">
        <v>0</v>
      </c>
      <c r="L538" t="n">
        <v>0</v>
      </c>
      <c r="M538" t="n">
        <v>0</v>
      </c>
      <c r="N538" t="n">
        <v>0</v>
      </c>
      <c r="O538" t="n">
        <v>0</v>
      </c>
      <c r="P538" t="n">
        <v>0</v>
      </c>
      <c r="Q538" t="n">
        <v>1</v>
      </c>
      <c r="R538" s="2" t="inlineStr">
        <is>
          <t>Gullviva</t>
        </is>
      </c>
      <c r="S538">
        <f>HYPERLINK("https://klasma.github.io/Logging_1493/artfynd/A 43580-2025 artfynd.xlsx", "A 43580-2025")</f>
        <v/>
      </c>
      <c r="T538">
        <f>HYPERLINK("https://klasma.github.io/Logging_1493/kartor/A 43580-2025 karta.png", "A 43580-2025")</f>
        <v/>
      </c>
      <c r="V538">
        <f>HYPERLINK("https://klasma.github.io/Logging_1493/klagomål/A 43580-2025 FSC-klagomål.docx", "A 43580-2025")</f>
        <v/>
      </c>
      <c r="W538">
        <f>HYPERLINK("https://klasma.github.io/Logging_1493/klagomålsmail/A 43580-2025 FSC-klagomål mail.docx", "A 43580-2025")</f>
        <v/>
      </c>
      <c r="X538">
        <f>HYPERLINK("https://klasma.github.io/Logging_1493/tillsyn/A 43580-2025 tillsynsbegäran.docx", "A 43580-2025")</f>
        <v/>
      </c>
      <c r="Y538">
        <f>HYPERLINK("https://klasma.github.io/Logging_1493/tillsynsmail/A 43580-2025 tillsynsbegäran mail.docx", "A 43580-2025")</f>
        <v/>
      </c>
    </row>
    <row r="539" ht="15" customHeight="1">
      <c r="A539" t="inlineStr">
        <is>
          <t>A 47656-2024</t>
        </is>
      </c>
      <c r="B539" s="1" t="n">
        <v>45588.3856712963</v>
      </c>
      <c r="C539" s="1" t="n">
        <v>46011</v>
      </c>
      <c r="D539" t="inlineStr">
        <is>
          <t>VÄSTRA GÖTALANDS LÄN</t>
        </is>
      </c>
      <c r="E539" t="inlineStr">
        <is>
          <t>DALS-ED</t>
        </is>
      </c>
      <c r="G539" t="n">
        <v>7.3</v>
      </c>
      <c r="H539" t="n">
        <v>1</v>
      </c>
      <c r="I539" t="n">
        <v>0</v>
      </c>
      <c r="J539" t="n">
        <v>1</v>
      </c>
      <c r="K539" t="n">
        <v>0</v>
      </c>
      <c r="L539" t="n">
        <v>0</v>
      </c>
      <c r="M539" t="n">
        <v>0</v>
      </c>
      <c r="N539" t="n">
        <v>0</v>
      </c>
      <c r="O539" t="n">
        <v>1</v>
      </c>
      <c r="P539" t="n">
        <v>0</v>
      </c>
      <c r="Q539" t="n">
        <v>1</v>
      </c>
      <c r="R539" s="2" t="inlineStr">
        <is>
          <t>Tretåig hackspett</t>
        </is>
      </c>
      <c r="S539">
        <f>HYPERLINK("https://klasma.github.io/Logging_1438/artfynd/A 47656-2024 artfynd.xlsx", "A 47656-2024")</f>
        <v/>
      </c>
      <c r="T539">
        <f>HYPERLINK("https://klasma.github.io/Logging_1438/kartor/A 47656-2024 karta.png", "A 47656-2024")</f>
        <v/>
      </c>
      <c r="V539">
        <f>HYPERLINK("https://klasma.github.io/Logging_1438/klagomål/A 47656-2024 FSC-klagomål.docx", "A 47656-2024")</f>
        <v/>
      </c>
      <c r="W539">
        <f>HYPERLINK("https://klasma.github.io/Logging_1438/klagomålsmail/A 47656-2024 FSC-klagomål mail.docx", "A 47656-2024")</f>
        <v/>
      </c>
      <c r="X539">
        <f>HYPERLINK("https://klasma.github.io/Logging_1438/tillsyn/A 47656-2024 tillsynsbegäran.docx", "A 47656-2024")</f>
        <v/>
      </c>
      <c r="Y539">
        <f>HYPERLINK("https://klasma.github.io/Logging_1438/tillsynsmail/A 47656-2024 tillsynsbegäran mail.docx", "A 47656-2024")</f>
        <v/>
      </c>
      <c r="Z539">
        <f>HYPERLINK("https://klasma.github.io/Logging_1438/fåglar/A 47656-2024 prioriterade fågelarter.docx", "A 47656-2024")</f>
        <v/>
      </c>
    </row>
    <row r="540" ht="15" customHeight="1">
      <c r="A540" t="inlineStr">
        <is>
          <t>A 32503-2025</t>
        </is>
      </c>
      <c r="B540" s="1" t="n">
        <v>45838.46440972222</v>
      </c>
      <c r="C540" s="1" t="n">
        <v>46011</v>
      </c>
      <c r="D540" t="inlineStr">
        <is>
          <t>VÄSTRA GÖTALANDS LÄN</t>
        </is>
      </c>
      <c r="E540" t="inlineStr">
        <is>
          <t>BOLLEBYGD</t>
        </is>
      </c>
      <c r="G540" t="n">
        <v>0.6</v>
      </c>
      <c r="H540" t="n">
        <v>0</v>
      </c>
      <c r="I540" t="n">
        <v>1</v>
      </c>
      <c r="J540" t="n">
        <v>0</v>
      </c>
      <c r="K540" t="n">
        <v>0</v>
      </c>
      <c r="L540" t="n">
        <v>0</v>
      </c>
      <c r="M540" t="n">
        <v>0</v>
      </c>
      <c r="N540" t="n">
        <v>0</v>
      </c>
      <c r="O540" t="n">
        <v>0</v>
      </c>
      <c r="P540" t="n">
        <v>0</v>
      </c>
      <c r="Q540" t="n">
        <v>1</v>
      </c>
      <c r="R540" s="2" t="inlineStr">
        <is>
          <t>Fällmossa</t>
        </is>
      </c>
      <c r="S540">
        <f>HYPERLINK("https://klasma.github.io/Logging_1443/artfynd/A 32503-2025 artfynd.xlsx", "A 32503-2025")</f>
        <v/>
      </c>
      <c r="T540">
        <f>HYPERLINK("https://klasma.github.io/Logging_1443/kartor/A 32503-2025 karta.png", "A 32503-2025")</f>
        <v/>
      </c>
      <c r="V540">
        <f>HYPERLINK("https://klasma.github.io/Logging_1443/klagomål/A 32503-2025 FSC-klagomål.docx", "A 32503-2025")</f>
        <v/>
      </c>
      <c r="W540">
        <f>HYPERLINK("https://klasma.github.io/Logging_1443/klagomålsmail/A 32503-2025 FSC-klagomål mail.docx", "A 32503-2025")</f>
        <v/>
      </c>
      <c r="X540">
        <f>HYPERLINK("https://klasma.github.io/Logging_1443/tillsyn/A 32503-2025 tillsynsbegäran.docx", "A 32503-2025")</f>
        <v/>
      </c>
      <c r="Y540">
        <f>HYPERLINK("https://klasma.github.io/Logging_1443/tillsynsmail/A 32503-2025 tillsynsbegäran mail.docx", "A 32503-2025")</f>
        <v/>
      </c>
    </row>
    <row r="541" ht="15" customHeight="1">
      <c r="A541" t="inlineStr">
        <is>
          <t>A 7575-2025</t>
        </is>
      </c>
      <c r="B541" s="1" t="n">
        <v>45705</v>
      </c>
      <c r="C541" s="1" t="n">
        <v>46011</v>
      </c>
      <c r="D541" t="inlineStr">
        <is>
          <t>VÄSTRA GÖTALANDS LÄN</t>
        </is>
      </c>
      <c r="E541" t="inlineStr">
        <is>
          <t>HÄRRYDA</t>
        </is>
      </c>
      <c r="G541" t="n">
        <v>3.9</v>
      </c>
      <c r="H541" t="n">
        <v>0</v>
      </c>
      <c r="I541" t="n">
        <v>1</v>
      </c>
      <c r="J541" t="n">
        <v>0</v>
      </c>
      <c r="K541" t="n">
        <v>0</v>
      </c>
      <c r="L541" t="n">
        <v>0</v>
      </c>
      <c r="M541" t="n">
        <v>0</v>
      </c>
      <c r="N541" t="n">
        <v>0</v>
      </c>
      <c r="O541" t="n">
        <v>0</v>
      </c>
      <c r="P541" t="n">
        <v>0</v>
      </c>
      <c r="Q541" t="n">
        <v>1</v>
      </c>
      <c r="R541" s="2" t="inlineStr">
        <is>
          <t>Mindre märgborre</t>
        </is>
      </c>
      <c r="S541">
        <f>HYPERLINK("https://klasma.github.io/Logging_1401/artfynd/A 7575-2025 artfynd.xlsx", "A 7575-2025")</f>
        <v/>
      </c>
      <c r="T541">
        <f>HYPERLINK("https://klasma.github.io/Logging_1401/kartor/A 7575-2025 karta.png", "A 7575-2025")</f>
        <v/>
      </c>
      <c r="V541">
        <f>HYPERLINK("https://klasma.github.io/Logging_1401/klagomål/A 7575-2025 FSC-klagomål.docx", "A 7575-2025")</f>
        <v/>
      </c>
      <c r="W541">
        <f>HYPERLINK("https://klasma.github.io/Logging_1401/klagomålsmail/A 7575-2025 FSC-klagomål mail.docx", "A 7575-2025")</f>
        <v/>
      </c>
      <c r="X541">
        <f>HYPERLINK("https://klasma.github.io/Logging_1401/tillsyn/A 7575-2025 tillsynsbegäran.docx", "A 7575-2025")</f>
        <v/>
      </c>
      <c r="Y541">
        <f>HYPERLINK("https://klasma.github.io/Logging_1401/tillsynsmail/A 7575-2025 tillsynsbegäran mail.docx", "A 7575-2025")</f>
        <v/>
      </c>
    </row>
    <row r="542" ht="15" customHeight="1">
      <c r="A542" t="inlineStr">
        <is>
          <t>A 28586-2022</t>
        </is>
      </c>
      <c r="B542" s="1" t="n">
        <v>44748.4893287037</v>
      </c>
      <c r="C542" s="1" t="n">
        <v>46011</v>
      </c>
      <c r="D542" t="inlineStr">
        <is>
          <t>VÄSTRA GÖTALANDS LÄN</t>
        </is>
      </c>
      <c r="E542" t="inlineStr">
        <is>
          <t>BORÅS</t>
        </is>
      </c>
      <c r="F542" t="inlineStr">
        <is>
          <t>Kommuner</t>
        </is>
      </c>
      <c r="G542" t="n">
        <v>4.9</v>
      </c>
      <c r="H542" t="n">
        <v>1</v>
      </c>
      <c r="I542" t="n">
        <v>0</v>
      </c>
      <c r="J542" t="n">
        <v>1</v>
      </c>
      <c r="K542" t="n">
        <v>0</v>
      </c>
      <c r="L542" t="n">
        <v>0</v>
      </c>
      <c r="M542" t="n">
        <v>0</v>
      </c>
      <c r="N542" t="n">
        <v>0</v>
      </c>
      <c r="O542" t="n">
        <v>1</v>
      </c>
      <c r="P542" t="n">
        <v>0</v>
      </c>
      <c r="Q542" t="n">
        <v>1</v>
      </c>
      <c r="R542" s="2" t="inlineStr">
        <is>
          <t>Talltita</t>
        </is>
      </c>
      <c r="S542">
        <f>HYPERLINK("https://klasma.github.io/Logging_1490/artfynd/A 28586-2022 artfynd.xlsx", "A 28586-2022")</f>
        <v/>
      </c>
      <c r="T542">
        <f>HYPERLINK("https://klasma.github.io/Logging_1490/kartor/A 28586-2022 karta.png", "A 28586-2022")</f>
        <v/>
      </c>
      <c r="V542">
        <f>HYPERLINK("https://klasma.github.io/Logging_1490/klagomål/A 28586-2022 FSC-klagomål.docx", "A 28586-2022")</f>
        <v/>
      </c>
      <c r="W542">
        <f>HYPERLINK("https://klasma.github.io/Logging_1490/klagomålsmail/A 28586-2022 FSC-klagomål mail.docx", "A 28586-2022")</f>
        <v/>
      </c>
      <c r="X542">
        <f>HYPERLINK("https://klasma.github.io/Logging_1490/tillsyn/A 28586-2022 tillsynsbegäran.docx", "A 28586-2022")</f>
        <v/>
      </c>
      <c r="Y542">
        <f>HYPERLINK("https://klasma.github.io/Logging_1490/tillsynsmail/A 28586-2022 tillsynsbegäran mail.docx", "A 28586-2022")</f>
        <v/>
      </c>
      <c r="Z542">
        <f>HYPERLINK("https://klasma.github.io/Logging_1490/fåglar/A 28586-2022 prioriterade fågelarter.docx", "A 28586-2022")</f>
        <v/>
      </c>
    </row>
    <row r="543" ht="15" customHeight="1">
      <c r="A543" t="inlineStr">
        <is>
          <t>A 29145-2022</t>
        </is>
      </c>
      <c r="B543" s="1" t="n">
        <v>44750.46633101852</v>
      </c>
      <c r="C543" s="1" t="n">
        <v>46011</v>
      </c>
      <c r="D543" t="inlineStr">
        <is>
          <t>VÄSTRA GÖTALANDS LÄN</t>
        </is>
      </c>
      <c r="E543" t="inlineStr">
        <is>
          <t>BORÅS</t>
        </is>
      </c>
      <c r="F543" t="inlineStr">
        <is>
          <t>Kommuner</t>
        </is>
      </c>
      <c r="G543" t="n">
        <v>3.6</v>
      </c>
      <c r="H543" t="n">
        <v>1</v>
      </c>
      <c r="I543" t="n">
        <v>0</v>
      </c>
      <c r="J543" t="n">
        <v>1</v>
      </c>
      <c r="K543" t="n">
        <v>0</v>
      </c>
      <c r="L543" t="n">
        <v>0</v>
      </c>
      <c r="M543" t="n">
        <v>0</v>
      </c>
      <c r="N543" t="n">
        <v>0</v>
      </c>
      <c r="O543" t="n">
        <v>1</v>
      </c>
      <c r="P543" t="n">
        <v>0</v>
      </c>
      <c r="Q543" t="n">
        <v>1</v>
      </c>
      <c r="R543" s="2" t="inlineStr">
        <is>
          <t>Spillkråka</t>
        </is>
      </c>
      <c r="S543">
        <f>HYPERLINK("https://klasma.github.io/Logging_1490/artfynd/A 29145-2022 artfynd.xlsx", "A 29145-2022")</f>
        <v/>
      </c>
      <c r="T543">
        <f>HYPERLINK("https://klasma.github.io/Logging_1490/kartor/A 29145-2022 karta.png", "A 29145-2022")</f>
        <v/>
      </c>
      <c r="V543">
        <f>HYPERLINK("https://klasma.github.io/Logging_1490/klagomål/A 29145-2022 FSC-klagomål.docx", "A 29145-2022")</f>
        <v/>
      </c>
      <c r="W543">
        <f>HYPERLINK("https://klasma.github.io/Logging_1490/klagomålsmail/A 29145-2022 FSC-klagomål mail.docx", "A 29145-2022")</f>
        <v/>
      </c>
      <c r="X543">
        <f>HYPERLINK("https://klasma.github.io/Logging_1490/tillsyn/A 29145-2022 tillsynsbegäran.docx", "A 29145-2022")</f>
        <v/>
      </c>
      <c r="Y543">
        <f>HYPERLINK("https://klasma.github.io/Logging_1490/tillsynsmail/A 29145-2022 tillsynsbegäran mail.docx", "A 29145-2022")</f>
        <v/>
      </c>
      <c r="Z543">
        <f>HYPERLINK("https://klasma.github.io/Logging_1490/fåglar/A 29145-2022 prioriterade fågelarter.docx", "A 29145-2022")</f>
        <v/>
      </c>
    </row>
    <row r="544" ht="15" customHeight="1">
      <c r="A544" t="inlineStr">
        <is>
          <t>A 15108-2023</t>
        </is>
      </c>
      <c r="B544" s="1" t="n">
        <v>45016</v>
      </c>
      <c r="C544" s="1" t="n">
        <v>46011</v>
      </c>
      <c r="D544" t="inlineStr">
        <is>
          <t>VÄSTRA GÖTALANDS LÄN</t>
        </is>
      </c>
      <c r="E544" t="inlineStr">
        <is>
          <t>LYSEKIL</t>
        </is>
      </c>
      <c r="G544" t="n">
        <v>1.7</v>
      </c>
      <c r="H544" t="n">
        <v>0</v>
      </c>
      <c r="I544" t="n">
        <v>0</v>
      </c>
      <c r="J544" t="n">
        <v>0</v>
      </c>
      <c r="K544" t="n">
        <v>0</v>
      </c>
      <c r="L544" t="n">
        <v>0</v>
      </c>
      <c r="M544" t="n">
        <v>1</v>
      </c>
      <c r="N544" t="n">
        <v>0</v>
      </c>
      <c r="O544" t="n">
        <v>1</v>
      </c>
      <c r="P544" t="n">
        <v>1</v>
      </c>
      <c r="Q544" t="n">
        <v>1</v>
      </c>
      <c r="R544" s="2" t="inlineStr">
        <is>
          <t>Skogsalm</t>
        </is>
      </c>
      <c r="S544">
        <f>HYPERLINK("https://klasma.github.io/Logging_1484/artfynd/A 15108-2023 artfynd.xlsx", "A 15108-2023")</f>
        <v/>
      </c>
      <c r="T544">
        <f>HYPERLINK("https://klasma.github.io/Logging_1484/kartor/A 15108-2023 karta.png", "A 15108-2023")</f>
        <v/>
      </c>
      <c r="V544">
        <f>HYPERLINK("https://klasma.github.io/Logging_1484/klagomål/A 15108-2023 FSC-klagomål.docx", "A 15108-2023")</f>
        <v/>
      </c>
      <c r="W544">
        <f>HYPERLINK("https://klasma.github.io/Logging_1484/klagomålsmail/A 15108-2023 FSC-klagomål mail.docx", "A 15108-2023")</f>
        <v/>
      </c>
      <c r="X544">
        <f>HYPERLINK("https://klasma.github.io/Logging_1484/tillsyn/A 15108-2023 tillsynsbegäran.docx", "A 15108-2023")</f>
        <v/>
      </c>
      <c r="Y544">
        <f>HYPERLINK("https://klasma.github.io/Logging_1484/tillsynsmail/A 15108-2023 tillsynsbegäran mail.docx", "A 15108-2023")</f>
        <v/>
      </c>
    </row>
    <row r="545" ht="15" customHeight="1">
      <c r="A545" t="inlineStr">
        <is>
          <t>A 24618-2024</t>
        </is>
      </c>
      <c r="B545" s="1" t="n">
        <v>45460</v>
      </c>
      <c r="C545" s="1" t="n">
        <v>46011</v>
      </c>
      <c r="D545" t="inlineStr">
        <is>
          <t>VÄSTRA GÖTALANDS LÄN</t>
        </is>
      </c>
      <c r="E545" t="inlineStr">
        <is>
          <t>ORUST</t>
        </is>
      </c>
      <c r="G545" t="n">
        <v>9.5</v>
      </c>
      <c r="H545" t="n">
        <v>1</v>
      </c>
      <c r="I545" t="n">
        <v>0</v>
      </c>
      <c r="J545" t="n">
        <v>0</v>
      </c>
      <c r="K545" t="n">
        <v>0</v>
      </c>
      <c r="L545" t="n">
        <v>0</v>
      </c>
      <c r="M545" t="n">
        <v>0</v>
      </c>
      <c r="N545" t="n">
        <v>0</v>
      </c>
      <c r="O545" t="n">
        <v>0</v>
      </c>
      <c r="P545" t="n">
        <v>0</v>
      </c>
      <c r="Q545" t="n">
        <v>1</v>
      </c>
      <c r="R545" s="2" t="inlineStr">
        <is>
          <t>Blåsippa</t>
        </is>
      </c>
      <c r="S545">
        <f>HYPERLINK("https://klasma.github.io/Logging_1421/artfynd/A 24618-2024 artfynd.xlsx", "A 24618-2024")</f>
        <v/>
      </c>
      <c r="T545">
        <f>HYPERLINK("https://klasma.github.io/Logging_1421/kartor/A 24618-2024 karta.png", "A 24618-2024")</f>
        <v/>
      </c>
      <c r="V545">
        <f>HYPERLINK("https://klasma.github.io/Logging_1421/klagomål/A 24618-2024 FSC-klagomål.docx", "A 24618-2024")</f>
        <v/>
      </c>
      <c r="W545">
        <f>HYPERLINK("https://klasma.github.io/Logging_1421/klagomålsmail/A 24618-2024 FSC-klagomål mail.docx", "A 24618-2024")</f>
        <v/>
      </c>
      <c r="X545">
        <f>HYPERLINK("https://klasma.github.io/Logging_1421/tillsyn/A 24618-2024 tillsynsbegäran.docx", "A 24618-2024")</f>
        <v/>
      </c>
      <c r="Y545">
        <f>HYPERLINK("https://klasma.github.io/Logging_1421/tillsynsmail/A 24618-2024 tillsynsbegäran mail.docx", "A 24618-2024")</f>
        <v/>
      </c>
    </row>
    <row r="546" ht="15" customHeight="1">
      <c r="A546" t="inlineStr">
        <is>
          <t>A 2741-2021</t>
        </is>
      </c>
      <c r="B546" s="1" t="n">
        <v>44215</v>
      </c>
      <c r="C546" s="1" t="n">
        <v>46011</v>
      </c>
      <c r="D546" t="inlineStr">
        <is>
          <t>VÄSTRA GÖTALANDS LÄN</t>
        </is>
      </c>
      <c r="E546" t="inlineStr">
        <is>
          <t>HJO</t>
        </is>
      </c>
      <c r="G546" t="n">
        <v>10.2</v>
      </c>
      <c r="H546" t="n">
        <v>0</v>
      </c>
      <c r="I546" t="n">
        <v>1</v>
      </c>
      <c r="J546" t="n">
        <v>0</v>
      </c>
      <c r="K546" t="n">
        <v>0</v>
      </c>
      <c r="L546" t="n">
        <v>0</v>
      </c>
      <c r="M546" t="n">
        <v>0</v>
      </c>
      <c r="N546" t="n">
        <v>0</v>
      </c>
      <c r="O546" t="n">
        <v>0</v>
      </c>
      <c r="P546" t="n">
        <v>0</v>
      </c>
      <c r="Q546" t="n">
        <v>1</v>
      </c>
      <c r="R546" s="2" t="inlineStr">
        <is>
          <t>Springkorn</t>
        </is>
      </c>
      <c r="S546">
        <f>HYPERLINK("https://klasma.github.io/Logging_1497/artfynd/A 2741-2021 artfynd.xlsx", "A 2741-2021")</f>
        <v/>
      </c>
      <c r="T546">
        <f>HYPERLINK("https://klasma.github.io/Logging_1497/kartor/A 2741-2021 karta.png", "A 2741-2021")</f>
        <v/>
      </c>
      <c r="V546">
        <f>HYPERLINK("https://klasma.github.io/Logging_1497/klagomål/A 2741-2021 FSC-klagomål.docx", "A 2741-2021")</f>
        <v/>
      </c>
      <c r="W546">
        <f>HYPERLINK("https://klasma.github.io/Logging_1497/klagomålsmail/A 2741-2021 FSC-klagomål mail.docx", "A 2741-2021")</f>
        <v/>
      </c>
      <c r="X546">
        <f>HYPERLINK("https://klasma.github.io/Logging_1497/tillsyn/A 2741-2021 tillsynsbegäran.docx", "A 2741-2021")</f>
        <v/>
      </c>
      <c r="Y546">
        <f>HYPERLINK("https://klasma.github.io/Logging_1497/tillsynsmail/A 2741-2021 tillsynsbegäran mail.docx", "A 2741-2021")</f>
        <v/>
      </c>
    </row>
    <row r="547" ht="15" customHeight="1">
      <c r="A547" t="inlineStr">
        <is>
          <t>A 33426-2021</t>
        </is>
      </c>
      <c r="B547" s="1" t="n">
        <v>44377</v>
      </c>
      <c r="C547" s="1" t="n">
        <v>46011</v>
      </c>
      <c r="D547" t="inlineStr">
        <is>
          <t>VÄSTRA GÖTALANDS LÄN</t>
        </is>
      </c>
      <c r="E547" t="inlineStr">
        <is>
          <t>KUNGÄLV</t>
        </is>
      </c>
      <c r="G547" t="n">
        <v>1</v>
      </c>
      <c r="H547" t="n">
        <v>1</v>
      </c>
      <c r="I547" t="n">
        <v>0</v>
      </c>
      <c r="J547" t="n">
        <v>0</v>
      </c>
      <c r="K547" t="n">
        <v>0</v>
      </c>
      <c r="L547" t="n">
        <v>0</v>
      </c>
      <c r="M547" t="n">
        <v>0</v>
      </c>
      <c r="N547" t="n">
        <v>0</v>
      </c>
      <c r="O547" t="n">
        <v>0</v>
      </c>
      <c r="P547" t="n">
        <v>0</v>
      </c>
      <c r="Q547" t="n">
        <v>1</v>
      </c>
      <c r="R547" s="2" t="inlineStr">
        <is>
          <t>Mattlummer</t>
        </is>
      </c>
      <c r="S547">
        <f>HYPERLINK("https://klasma.github.io/Logging_1482/artfynd/A 33426-2021 artfynd.xlsx", "A 33426-2021")</f>
        <v/>
      </c>
      <c r="T547">
        <f>HYPERLINK("https://klasma.github.io/Logging_1482/kartor/A 33426-2021 karta.png", "A 33426-2021")</f>
        <v/>
      </c>
      <c r="V547">
        <f>HYPERLINK("https://klasma.github.io/Logging_1482/klagomål/A 33426-2021 FSC-klagomål.docx", "A 33426-2021")</f>
        <v/>
      </c>
      <c r="W547">
        <f>HYPERLINK("https://klasma.github.io/Logging_1482/klagomålsmail/A 33426-2021 FSC-klagomål mail.docx", "A 33426-2021")</f>
        <v/>
      </c>
      <c r="X547">
        <f>HYPERLINK("https://klasma.github.io/Logging_1482/tillsyn/A 33426-2021 tillsynsbegäran.docx", "A 33426-2021")</f>
        <v/>
      </c>
      <c r="Y547">
        <f>HYPERLINK("https://klasma.github.io/Logging_1482/tillsynsmail/A 33426-2021 tillsynsbegäran mail.docx", "A 33426-2021")</f>
        <v/>
      </c>
    </row>
    <row r="548" ht="15" customHeight="1">
      <c r="A548" t="inlineStr">
        <is>
          <t>A 45243-2025</t>
        </is>
      </c>
      <c r="B548" s="1" t="n">
        <v>45919.60089120371</v>
      </c>
      <c r="C548" s="1" t="n">
        <v>46011</v>
      </c>
      <c r="D548" t="inlineStr">
        <is>
          <t>VÄSTRA GÖTALANDS LÄN</t>
        </is>
      </c>
      <c r="E548" t="inlineStr">
        <is>
          <t>KUNGÄLV</t>
        </is>
      </c>
      <c r="G548" t="n">
        <v>8.1</v>
      </c>
      <c r="H548" t="n">
        <v>1</v>
      </c>
      <c r="I548" t="n">
        <v>0</v>
      </c>
      <c r="J548" t="n">
        <v>0</v>
      </c>
      <c r="K548" t="n">
        <v>0</v>
      </c>
      <c r="L548" t="n">
        <v>0</v>
      </c>
      <c r="M548" t="n">
        <v>0</v>
      </c>
      <c r="N548" t="n">
        <v>0</v>
      </c>
      <c r="O548" t="n">
        <v>0</v>
      </c>
      <c r="P548" t="n">
        <v>0</v>
      </c>
      <c r="Q548" t="n">
        <v>1</v>
      </c>
      <c r="R548" s="2" t="inlineStr">
        <is>
          <t>Revlummer</t>
        </is>
      </c>
      <c r="S548">
        <f>HYPERLINK("https://klasma.github.io/Logging_1482/artfynd/A 45243-2025 artfynd.xlsx", "A 45243-2025")</f>
        <v/>
      </c>
      <c r="T548">
        <f>HYPERLINK("https://klasma.github.io/Logging_1482/kartor/A 45243-2025 karta.png", "A 45243-2025")</f>
        <v/>
      </c>
      <c r="V548">
        <f>HYPERLINK("https://klasma.github.io/Logging_1482/klagomål/A 45243-2025 FSC-klagomål.docx", "A 45243-2025")</f>
        <v/>
      </c>
      <c r="W548">
        <f>HYPERLINK("https://klasma.github.io/Logging_1482/klagomålsmail/A 45243-2025 FSC-klagomål mail.docx", "A 45243-2025")</f>
        <v/>
      </c>
      <c r="X548">
        <f>HYPERLINK("https://klasma.github.io/Logging_1482/tillsyn/A 45243-2025 tillsynsbegäran.docx", "A 45243-2025")</f>
        <v/>
      </c>
      <c r="Y548">
        <f>HYPERLINK("https://klasma.github.io/Logging_1482/tillsynsmail/A 45243-2025 tillsynsbegäran mail.docx", "A 45243-2025")</f>
        <v/>
      </c>
    </row>
    <row r="549" ht="15" customHeight="1">
      <c r="A549" t="inlineStr">
        <is>
          <t>A 32859-2025</t>
        </is>
      </c>
      <c r="B549" s="1" t="n">
        <v>45839.58148148148</v>
      </c>
      <c r="C549" s="1" t="n">
        <v>46011</v>
      </c>
      <c r="D549" t="inlineStr">
        <is>
          <t>VÄSTRA GÖTALANDS LÄN</t>
        </is>
      </c>
      <c r="E549" t="inlineStr">
        <is>
          <t>BOLLEBYGD</t>
        </is>
      </c>
      <c r="G549" t="n">
        <v>3.2</v>
      </c>
      <c r="H549" t="n">
        <v>1</v>
      </c>
      <c r="I549" t="n">
        <v>0</v>
      </c>
      <c r="J549" t="n">
        <v>0</v>
      </c>
      <c r="K549" t="n">
        <v>0</v>
      </c>
      <c r="L549" t="n">
        <v>0</v>
      </c>
      <c r="M549" t="n">
        <v>0</v>
      </c>
      <c r="N549" t="n">
        <v>0</v>
      </c>
      <c r="O549" t="n">
        <v>0</v>
      </c>
      <c r="P549" t="n">
        <v>0</v>
      </c>
      <c r="Q549" t="n">
        <v>1</v>
      </c>
      <c r="R549" s="2" t="inlineStr">
        <is>
          <t>Revlummer</t>
        </is>
      </c>
      <c r="S549">
        <f>HYPERLINK("https://klasma.github.io/Logging_1443/artfynd/A 32859-2025 artfynd.xlsx", "A 32859-2025")</f>
        <v/>
      </c>
      <c r="T549">
        <f>HYPERLINK("https://klasma.github.io/Logging_1443/kartor/A 32859-2025 karta.png", "A 32859-2025")</f>
        <v/>
      </c>
      <c r="V549">
        <f>HYPERLINK("https://klasma.github.io/Logging_1443/klagomål/A 32859-2025 FSC-klagomål.docx", "A 32859-2025")</f>
        <v/>
      </c>
      <c r="W549">
        <f>HYPERLINK("https://klasma.github.io/Logging_1443/klagomålsmail/A 32859-2025 FSC-klagomål mail.docx", "A 32859-2025")</f>
        <v/>
      </c>
      <c r="X549">
        <f>HYPERLINK("https://klasma.github.io/Logging_1443/tillsyn/A 32859-2025 tillsynsbegäran.docx", "A 32859-2025")</f>
        <v/>
      </c>
      <c r="Y549">
        <f>HYPERLINK("https://klasma.github.io/Logging_1443/tillsynsmail/A 32859-2025 tillsynsbegäran mail.docx", "A 32859-2025")</f>
        <v/>
      </c>
    </row>
    <row r="550" ht="15" customHeight="1">
      <c r="A550" t="inlineStr">
        <is>
          <t>A 45864-2025</t>
        </is>
      </c>
      <c r="B550" s="1" t="n">
        <v>45923.64543981481</v>
      </c>
      <c r="C550" s="1" t="n">
        <v>46011</v>
      </c>
      <c r="D550" t="inlineStr">
        <is>
          <t>VÄSTRA GÖTALANDS LÄN</t>
        </is>
      </c>
      <c r="E550" t="inlineStr">
        <is>
          <t>MARK</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HYPERLINK("https://klasma.github.io/Logging_1463/artfynd/A 45864-2025 artfynd.xlsx", "A 45864-2025")</f>
        <v/>
      </c>
      <c r="T550">
        <f>HYPERLINK("https://klasma.github.io/Logging_1463/kartor/A 45864-2025 karta.png", "A 45864-2025")</f>
        <v/>
      </c>
      <c r="V550">
        <f>HYPERLINK("https://klasma.github.io/Logging_1463/klagomål/A 45864-2025 FSC-klagomål.docx", "A 45864-2025")</f>
        <v/>
      </c>
      <c r="W550">
        <f>HYPERLINK("https://klasma.github.io/Logging_1463/klagomålsmail/A 45864-2025 FSC-klagomål mail.docx", "A 45864-2025")</f>
        <v/>
      </c>
      <c r="X550">
        <f>HYPERLINK("https://klasma.github.io/Logging_1463/tillsyn/A 45864-2025 tillsynsbegäran.docx", "A 45864-2025")</f>
        <v/>
      </c>
      <c r="Y550">
        <f>HYPERLINK("https://klasma.github.io/Logging_1463/tillsynsmail/A 45864-2025 tillsynsbegäran mail.docx", "A 45864-2025")</f>
        <v/>
      </c>
      <c r="Z550">
        <f>HYPERLINK("https://klasma.github.io/Logging_1463/fåglar/A 45864-2025 prioriterade fågelarter.docx", "A 45864-2025")</f>
        <v/>
      </c>
    </row>
    <row r="551" ht="15" customHeight="1">
      <c r="A551" t="inlineStr">
        <is>
          <t>A 21300-2023</t>
        </is>
      </c>
      <c r="B551" s="1" t="n">
        <v>45062</v>
      </c>
      <c r="C551" s="1" t="n">
        <v>46011</v>
      </c>
      <c r="D551" t="inlineStr">
        <is>
          <t>VÄSTRA GÖTALANDS LÄN</t>
        </is>
      </c>
      <c r="E551" t="inlineStr">
        <is>
          <t>BENGTSFORS</t>
        </is>
      </c>
      <c r="G551" t="n">
        <v>2.3</v>
      </c>
      <c r="H551" t="n">
        <v>1</v>
      </c>
      <c r="I551" t="n">
        <v>0</v>
      </c>
      <c r="J551" t="n">
        <v>0</v>
      </c>
      <c r="K551" t="n">
        <v>0</v>
      </c>
      <c r="L551" t="n">
        <v>0</v>
      </c>
      <c r="M551" t="n">
        <v>0</v>
      </c>
      <c r="N551" t="n">
        <v>0</v>
      </c>
      <c r="O551" t="n">
        <v>0</v>
      </c>
      <c r="P551" t="n">
        <v>0</v>
      </c>
      <c r="Q551" t="n">
        <v>1</v>
      </c>
      <c r="R551" s="2" t="inlineStr">
        <is>
          <t>Blåsippa</t>
        </is>
      </c>
      <c r="S551">
        <f>HYPERLINK("https://klasma.github.io/Logging_1460/artfynd/A 21300-2023 artfynd.xlsx", "A 21300-2023")</f>
        <v/>
      </c>
      <c r="T551">
        <f>HYPERLINK("https://klasma.github.io/Logging_1460/kartor/A 21300-2023 karta.png", "A 21300-2023")</f>
        <v/>
      </c>
      <c r="V551">
        <f>HYPERLINK("https://klasma.github.io/Logging_1460/klagomål/A 21300-2023 FSC-klagomål.docx", "A 21300-2023")</f>
        <v/>
      </c>
      <c r="W551">
        <f>HYPERLINK("https://klasma.github.io/Logging_1460/klagomålsmail/A 21300-2023 FSC-klagomål mail.docx", "A 21300-2023")</f>
        <v/>
      </c>
      <c r="X551">
        <f>HYPERLINK("https://klasma.github.io/Logging_1460/tillsyn/A 21300-2023 tillsynsbegäran.docx", "A 21300-2023")</f>
        <v/>
      </c>
      <c r="Y551">
        <f>HYPERLINK("https://klasma.github.io/Logging_1460/tillsynsmail/A 21300-2023 tillsynsbegäran mail.docx", "A 21300-2023")</f>
        <v/>
      </c>
    </row>
    <row r="552" ht="15" customHeight="1">
      <c r="A552" t="inlineStr">
        <is>
          <t>A 33610-2025</t>
        </is>
      </c>
      <c r="B552" s="1" t="n">
        <v>45841.61888888889</v>
      </c>
      <c r="C552" s="1" t="n">
        <v>46011</v>
      </c>
      <c r="D552" t="inlineStr">
        <is>
          <t>VÄSTRA GÖTALANDS LÄN</t>
        </is>
      </c>
      <c r="E552" t="inlineStr">
        <is>
          <t>SKARA</t>
        </is>
      </c>
      <c r="G552" t="n">
        <v>11.2</v>
      </c>
      <c r="H552" t="n">
        <v>0</v>
      </c>
      <c r="I552" t="n">
        <v>1</v>
      </c>
      <c r="J552" t="n">
        <v>0</v>
      </c>
      <c r="K552" t="n">
        <v>0</v>
      </c>
      <c r="L552" t="n">
        <v>0</v>
      </c>
      <c r="M552" t="n">
        <v>0</v>
      </c>
      <c r="N552" t="n">
        <v>0</v>
      </c>
      <c r="O552" t="n">
        <v>0</v>
      </c>
      <c r="P552" t="n">
        <v>0</v>
      </c>
      <c r="Q552" t="n">
        <v>1</v>
      </c>
      <c r="R552" s="2" t="inlineStr">
        <is>
          <t>Lundbräsma</t>
        </is>
      </c>
      <c r="S552">
        <f>HYPERLINK("https://klasma.github.io/Logging_1495/artfynd/A 33610-2025 artfynd.xlsx", "A 33610-2025")</f>
        <v/>
      </c>
      <c r="T552">
        <f>HYPERLINK("https://klasma.github.io/Logging_1495/kartor/A 33610-2025 karta.png", "A 33610-2025")</f>
        <v/>
      </c>
      <c r="V552">
        <f>HYPERLINK("https://klasma.github.io/Logging_1495/klagomål/A 33610-2025 FSC-klagomål.docx", "A 33610-2025")</f>
        <v/>
      </c>
      <c r="W552">
        <f>HYPERLINK("https://klasma.github.io/Logging_1495/klagomålsmail/A 33610-2025 FSC-klagomål mail.docx", "A 33610-2025")</f>
        <v/>
      </c>
      <c r="X552">
        <f>HYPERLINK("https://klasma.github.io/Logging_1495/tillsyn/A 33610-2025 tillsynsbegäran.docx", "A 33610-2025")</f>
        <v/>
      </c>
      <c r="Y552">
        <f>HYPERLINK("https://klasma.github.io/Logging_1495/tillsynsmail/A 33610-2025 tillsynsbegäran mail.docx", "A 33610-2025")</f>
        <v/>
      </c>
    </row>
    <row r="553" ht="15" customHeight="1">
      <c r="A553" t="inlineStr">
        <is>
          <t>A 45943-2025</t>
        </is>
      </c>
      <c r="B553" s="1" t="n">
        <v>45924.32104166667</v>
      </c>
      <c r="C553" s="1" t="n">
        <v>46011</v>
      </c>
      <c r="D553" t="inlineStr">
        <is>
          <t>VÄSTRA GÖTALANDS LÄN</t>
        </is>
      </c>
      <c r="E553" t="inlineStr">
        <is>
          <t>BENGTSFORS</t>
        </is>
      </c>
      <c r="G553" t="n">
        <v>1.4</v>
      </c>
      <c r="H553" t="n">
        <v>0</v>
      </c>
      <c r="I553" t="n">
        <v>0</v>
      </c>
      <c r="J553" t="n">
        <v>1</v>
      </c>
      <c r="K553" t="n">
        <v>0</v>
      </c>
      <c r="L553" t="n">
        <v>0</v>
      </c>
      <c r="M553" t="n">
        <v>0</v>
      </c>
      <c r="N553" t="n">
        <v>0</v>
      </c>
      <c r="O553" t="n">
        <v>1</v>
      </c>
      <c r="P553" t="n">
        <v>0</v>
      </c>
      <c r="Q553" t="n">
        <v>1</v>
      </c>
      <c r="R553" s="2" t="inlineStr">
        <is>
          <t>Motaggsvamp</t>
        </is>
      </c>
      <c r="S553">
        <f>HYPERLINK("https://klasma.github.io/Logging_1460/artfynd/A 45943-2025 artfynd.xlsx", "A 45943-2025")</f>
        <v/>
      </c>
      <c r="T553">
        <f>HYPERLINK("https://klasma.github.io/Logging_1460/kartor/A 45943-2025 karta.png", "A 45943-2025")</f>
        <v/>
      </c>
      <c r="V553">
        <f>HYPERLINK("https://klasma.github.io/Logging_1460/klagomål/A 45943-2025 FSC-klagomål.docx", "A 45943-2025")</f>
        <v/>
      </c>
      <c r="W553">
        <f>HYPERLINK("https://klasma.github.io/Logging_1460/klagomålsmail/A 45943-2025 FSC-klagomål mail.docx", "A 45943-2025")</f>
        <v/>
      </c>
      <c r="X553">
        <f>HYPERLINK("https://klasma.github.io/Logging_1460/tillsyn/A 45943-2025 tillsynsbegäran.docx", "A 45943-2025")</f>
        <v/>
      </c>
      <c r="Y553">
        <f>HYPERLINK("https://klasma.github.io/Logging_1460/tillsynsmail/A 45943-2025 tillsynsbegäran mail.docx", "A 45943-2025")</f>
        <v/>
      </c>
    </row>
    <row r="554" ht="15" customHeight="1">
      <c r="A554" t="inlineStr">
        <is>
          <t>A 45941-2025</t>
        </is>
      </c>
      <c r="B554" s="1" t="n">
        <v>45924.31385416666</v>
      </c>
      <c r="C554" s="1" t="n">
        <v>46011</v>
      </c>
      <c r="D554" t="inlineStr">
        <is>
          <t>VÄSTRA GÖTALANDS LÄN</t>
        </is>
      </c>
      <c r="E554" t="inlineStr">
        <is>
          <t>LILLA EDET</t>
        </is>
      </c>
      <c r="G554" t="n">
        <v>1.2</v>
      </c>
      <c r="H554" t="n">
        <v>0</v>
      </c>
      <c r="I554" t="n">
        <v>0</v>
      </c>
      <c r="J554" t="n">
        <v>1</v>
      </c>
      <c r="K554" t="n">
        <v>0</v>
      </c>
      <c r="L554" t="n">
        <v>0</v>
      </c>
      <c r="M554" t="n">
        <v>0</v>
      </c>
      <c r="N554" t="n">
        <v>0</v>
      </c>
      <c r="O554" t="n">
        <v>1</v>
      </c>
      <c r="P554" t="n">
        <v>0</v>
      </c>
      <c r="Q554" t="n">
        <v>1</v>
      </c>
      <c r="R554" s="2" t="inlineStr">
        <is>
          <t>Dofttaggsvamp</t>
        </is>
      </c>
      <c r="S554">
        <f>HYPERLINK("https://klasma.github.io/Logging_1462/artfynd/A 45941-2025 artfynd.xlsx", "A 45941-2025")</f>
        <v/>
      </c>
      <c r="T554">
        <f>HYPERLINK("https://klasma.github.io/Logging_1462/kartor/A 45941-2025 karta.png", "A 45941-2025")</f>
        <v/>
      </c>
      <c r="V554">
        <f>HYPERLINK("https://klasma.github.io/Logging_1462/klagomål/A 45941-2025 FSC-klagomål.docx", "A 45941-2025")</f>
        <v/>
      </c>
      <c r="W554">
        <f>HYPERLINK("https://klasma.github.io/Logging_1462/klagomålsmail/A 45941-2025 FSC-klagomål mail.docx", "A 45941-2025")</f>
        <v/>
      </c>
      <c r="X554">
        <f>HYPERLINK("https://klasma.github.io/Logging_1462/tillsyn/A 45941-2025 tillsynsbegäran.docx", "A 45941-2025")</f>
        <v/>
      </c>
      <c r="Y554">
        <f>HYPERLINK("https://klasma.github.io/Logging_1462/tillsynsmail/A 45941-2025 tillsynsbegäran mail.docx", "A 45941-2025")</f>
        <v/>
      </c>
    </row>
    <row r="555" ht="15" customHeight="1">
      <c r="A555" t="inlineStr">
        <is>
          <t>A 33930-2025</t>
        </is>
      </c>
      <c r="B555" s="1" t="n">
        <v>45842.63076388889</v>
      </c>
      <c r="C555" s="1" t="n">
        <v>46011</v>
      </c>
      <c r="D555" t="inlineStr">
        <is>
          <t>VÄSTRA GÖTALANDS LÄN</t>
        </is>
      </c>
      <c r="E555" t="inlineStr">
        <is>
          <t>BENGTSFORS</t>
        </is>
      </c>
      <c r="G555" t="n">
        <v>6.1</v>
      </c>
      <c r="H555" t="n">
        <v>1</v>
      </c>
      <c r="I555" t="n">
        <v>0</v>
      </c>
      <c r="J555" t="n">
        <v>0</v>
      </c>
      <c r="K555" t="n">
        <v>0</v>
      </c>
      <c r="L555" t="n">
        <v>0</v>
      </c>
      <c r="M555" t="n">
        <v>0</v>
      </c>
      <c r="N555" t="n">
        <v>0</v>
      </c>
      <c r="O555" t="n">
        <v>0</v>
      </c>
      <c r="P555" t="n">
        <v>0</v>
      </c>
      <c r="Q555" t="n">
        <v>1</v>
      </c>
      <c r="R555" s="2" t="inlineStr">
        <is>
          <t>Revlummer</t>
        </is>
      </c>
      <c r="S555">
        <f>HYPERLINK("https://klasma.github.io/Logging_1460/artfynd/A 33930-2025 artfynd.xlsx", "A 33930-2025")</f>
        <v/>
      </c>
      <c r="T555">
        <f>HYPERLINK("https://klasma.github.io/Logging_1460/kartor/A 33930-2025 karta.png", "A 33930-2025")</f>
        <v/>
      </c>
      <c r="V555">
        <f>HYPERLINK("https://klasma.github.io/Logging_1460/klagomål/A 33930-2025 FSC-klagomål.docx", "A 33930-2025")</f>
        <v/>
      </c>
      <c r="W555">
        <f>HYPERLINK("https://klasma.github.io/Logging_1460/klagomålsmail/A 33930-2025 FSC-klagomål mail.docx", "A 33930-2025")</f>
        <v/>
      </c>
      <c r="X555">
        <f>HYPERLINK("https://klasma.github.io/Logging_1460/tillsyn/A 33930-2025 tillsynsbegäran.docx", "A 33930-2025")</f>
        <v/>
      </c>
      <c r="Y555">
        <f>HYPERLINK("https://klasma.github.io/Logging_1460/tillsynsmail/A 33930-2025 tillsynsbegäran mail.docx", "A 33930-2025")</f>
        <v/>
      </c>
    </row>
    <row r="556" ht="15" customHeight="1">
      <c r="A556" t="inlineStr">
        <is>
          <t>A 30785-2023</t>
        </is>
      </c>
      <c r="B556" s="1" t="n">
        <v>45112</v>
      </c>
      <c r="C556" s="1" t="n">
        <v>46011</v>
      </c>
      <c r="D556" t="inlineStr">
        <is>
          <t>VÄSTRA GÖTALANDS LÄN</t>
        </is>
      </c>
      <c r="E556" t="inlineStr">
        <is>
          <t>BOLLEBYGD</t>
        </is>
      </c>
      <c r="G556" t="n">
        <v>3.4</v>
      </c>
      <c r="H556" t="n">
        <v>1</v>
      </c>
      <c r="I556" t="n">
        <v>0</v>
      </c>
      <c r="J556" t="n">
        <v>0</v>
      </c>
      <c r="K556" t="n">
        <v>0</v>
      </c>
      <c r="L556" t="n">
        <v>0</v>
      </c>
      <c r="M556" t="n">
        <v>0</v>
      </c>
      <c r="N556" t="n">
        <v>0</v>
      </c>
      <c r="O556" t="n">
        <v>0</v>
      </c>
      <c r="P556" t="n">
        <v>0</v>
      </c>
      <c r="Q556" t="n">
        <v>1</v>
      </c>
      <c r="R556" s="2" t="inlineStr">
        <is>
          <t>Revlummer</t>
        </is>
      </c>
      <c r="S556">
        <f>HYPERLINK("https://klasma.github.io/Logging_1443/artfynd/A 30785-2023 artfynd.xlsx", "A 30785-2023")</f>
        <v/>
      </c>
      <c r="T556">
        <f>HYPERLINK("https://klasma.github.io/Logging_1443/kartor/A 30785-2023 karta.png", "A 30785-2023")</f>
        <v/>
      </c>
      <c r="V556">
        <f>HYPERLINK("https://klasma.github.io/Logging_1443/klagomål/A 30785-2023 FSC-klagomål.docx", "A 30785-2023")</f>
        <v/>
      </c>
      <c r="W556">
        <f>HYPERLINK("https://klasma.github.io/Logging_1443/klagomålsmail/A 30785-2023 FSC-klagomål mail.docx", "A 30785-2023")</f>
        <v/>
      </c>
      <c r="X556">
        <f>HYPERLINK("https://klasma.github.io/Logging_1443/tillsyn/A 30785-2023 tillsynsbegäran.docx", "A 30785-2023")</f>
        <v/>
      </c>
      <c r="Y556">
        <f>HYPERLINK("https://klasma.github.io/Logging_1443/tillsynsmail/A 30785-2023 tillsynsbegäran mail.docx", "A 30785-2023")</f>
        <v/>
      </c>
    </row>
    <row r="557" ht="15" customHeight="1">
      <c r="A557" t="inlineStr">
        <is>
          <t>A 9947-2021</t>
        </is>
      </c>
      <c r="B557" s="1" t="n">
        <v>44252</v>
      </c>
      <c r="C557" s="1" t="n">
        <v>46011</v>
      </c>
      <c r="D557" t="inlineStr">
        <is>
          <t>VÄSTRA GÖTALANDS LÄN</t>
        </is>
      </c>
      <c r="E557" t="inlineStr">
        <is>
          <t>STRÖMSTAD</t>
        </is>
      </c>
      <c r="G557" t="n">
        <v>3.1</v>
      </c>
      <c r="H557" t="n">
        <v>1</v>
      </c>
      <c r="I557" t="n">
        <v>0</v>
      </c>
      <c r="J557" t="n">
        <v>0</v>
      </c>
      <c r="K557" t="n">
        <v>1</v>
      </c>
      <c r="L557" t="n">
        <v>0</v>
      </c>
      <c r="M557" t="n">
        <v>0</v>
      </c>
      <c r="N557" t="n">
        <v>0</v>
      </c>
      <c r="O557" t="n">
        <v>1</v>
      </c>
      <c r="P557" t="n">
        <v>1</v>
      </c>
      <c r="Q557" t="n">
        <v>1</v>
      </c>
      <c r="R557" s="2" t="inlineStr">
        <is>
          <t>Knärot</t>
        </is>
      </c>
      <c r="S557">
        <f>HYPERLINK("https://klasma.github.io/Logging_1486/artfynd/A 9947-2021 artfynd.xlsx", "A 9947-2021")</f>
        <v/>
      </c>
      <c r="T557">
        <f>HYPERLINK("https://klasma.github.io/Logging_1486/kartor/A 9947-2021 karta.png", "A 9947-2021")</f>
        <v/>
      </c>
      <c r="U557">
        <f>HYPERLINK("https://klasma.github.io/Logging_1486/knärot/A 9947-2021 karta knärot.png", "A 9947-2021")</f>
        <v/>
      </c>
      <c r="V557">
        <f>HYPERLINK("https://klasma.github.io/Logging_1486/klagomål/A 9947-2021 FSC-klagomål.docx", "A 9947-2021")</f>
        <v/>
      </c>
      <c r="W557">
        <f>HYPERLINK("https://klasma.github.io/Logging_1486/klagomålsmail/A 9947-2021 FSC-klagomål mail.docx", "A 9947-2021")</f>
        <v/>
      </c>
      <c r="X557">
        <f>HYPERLINK("https://klasma.github.io/Logging_1486/tillsyn/A 9947-2021 tillsynsbegäran.docx", "A 9947-2021")</f>
        <v/>
      </c>
      <c r="Y557">
        <f>HYPERLINK("https://klasma.github.io/Logging_1486/tillsynsmail/A 9947-2021 tillsynsbegäran mail.docx", "A 9947-2021")</f>
        <v/>
      </c>
    </row>
    <row r="558" ht="15" customHeight="1">
      <c r="A558" t="inlineStr">
        <is>
          <t>A 34341-2025</t>
        </is>
      </c>
      <c r="B558" s="1" t="n">
        <v>45846.45840277777</v>
      </c>
      <c r="C558" s="1" t="n">
        <v>46011</v>
      </c>
      <c r="D558" t="inlineStr">
        <is>
          <t>VÄSTRA GÖTALANDS LÄN</t>
        </is>
      </c>
      <c r="E558" t="inlineStr">
        <is>
          <t>BORÅS</t>
        </is>
      </c>
      <c r="G558" t="n">
        <v>2.7</v>
      </c>
      <c r="H558" t="n">
        <v>0</v>
      </c>
      <c r="I558" t="n">
        <v>1</v>
      </c>
      <c r="J558" t="n">
        <v>0</v>
      </c>
      <c r="K558" t="n">
        <v>0</v>
      </c>
      <c r="L558" t="n">
        <v>0</v>
      </c>
      <c r="M558" t="n">
        <v>0</v>
      </c>
      <c r="N558" t="n">
        <v>0</v>
      </c>
      <c r="O558" t="n">
        <v>0</v>
      </c>
      <c r="P558" t="n">
        <v>0</v>
      </c>
      <c r="Q558" t="n">
        <v>1</v>
      </c>
      <c r="R558" s="2" t="inlineStr">
        <is>
          <t>Svavelriska</t>
        </is>
      </c>
      <c r="S558">
        <f>HYPERLINK("https://klasma.github.io/Logging_1490/artfynd/A 34341-2025 artfynd.xlsx", "A 34341-2025")</f>
        <v/>
      </c>
      <c r="T558">
        <f>HYPERLINK("https://klasma.github.io/Logging_1490/kartor/A 34341-2025 karta.png", "A 34341-2025")</f>
        <v/>
      </c>
      <c r="V558">
        <f>HYPERLINK("https://klasma.github.io/Logging_1490/klagomål/A 34341-2025 FSC-klagomål.docx", "A 34341-2025")</f>
        <v/>
      </c>
      <c r="W558">
        <f>HYPERLINK("https://klasma.github.io/Logging_1490/klagomålsmail/A 34341-2025 FSC-klagomål mail.docx", "A 34341-2025")</f>
        <v/>
      </c>
      <c r="X558">
        <f>HYPERLINK("https://klasma.github.io/Logging_1490/tillsyn/A 34341-2025 tillsynsbegäran.docx", "A 34341-2025")</f>
        <v/>
      </c>
      <c r="Y558">
        <f>HYPERLINK("https://klasma.github.io/Logging_1490/tillsynsmail/A 34341-2025 tillsynsbegäran mail.docx", "A 34341-2025")</f>
        <v/>
      </c>
    </row>
    <row r="559" ht="15" customHeight="1">
      <c r="A559" t="inlineStr">
        <is>
          <t>A 22225-2025</t>
        </is>
      </c>
      <c r="B559" s="1" t="n">
        <v>45785.66121527777</v>
      </c>
      <c r="C559" s="1" t="n">
        <v>46011</v>
      </c>
      <c r="D559" t="inlineStr">
        <is>
          <t>VÄSTRA GÖTALANDS LÄN</t>
        </is>
      </c>
      <c r="E559" t="inlineStr">
        <is>
          <t>ULRICEHAMN</t>
        </is>
      </c>
      <c r="G559" t="n">
        <v>1</v>
      </c>
      <c r="H559" t="n">
        <v>1</v>
      </c>
      <c r="I559" t="n">
        <v>0</v>
      </c>
      <c r="J559" t="n">
        <v>0</v>
      </c>
      <c r="K559" t="n">
        <v>0</v>
      </c>
      <c r="L559" t="n">
        <v>0</v>
      </c>
      <c r="M559" t="n">
        <v>0</v>
      </c>
      <c r="N559" t="n">
        <v>0</v>
      </c>
      <c r="O559" t="n">
        <v>0</v>
      </c>
      <c r="P559" t="n">
        <v>0</v>
      </c>
      <c r="Q559" t="n">
        <v>1</v>
      </c>
      <c r="R559" s="2" t="inlineStr">
        <is>
          <t>Revlummer</t>
        </is>
      </c>
      <c r="S559">
        <f>HYPERLINK("https://klasma.github.io/Logging_1491/artfynd/A 22225-2025 artfynd.xlsx", "A 22225-2025")</f>
        <v/>
      </c>
      <c r="T559">
        <f>HYPERLINK("https://klasma.github.io/Logging_1491/kartor/A 22225-2025 karta.png", "A 22225-2025")</f>
        <v/>
      </c>
      <c r="V559">
        <f>HYPERLINK("https://klasma.github.io/Logging_1491/klagomål/A 22225-2025 FSC-klagomål.docx", "A 22225-2025")</f>
        <v/>
      </c>
      <c r="W559">
        <f>HYPERLINK("https://klasma.github.io/Logging_1491/klagomålsmail/A 22225-2025 FSC-klagomål mail.docx", "A 22225-2025")</f>
        <v/>
      </c>
      <c r="X559">
        <f>HYPERLINK("https://klasma.github.io/Logging_1491/tillsyn/A 22225-2025 tillsynsbegäran.docx", "A 22225-2025")</f>
        <v/>
      </c>
      <c r="Y559">
        <f>HYPERLINK("https://klasma.github.io/Logging_1491/tillsynsmail/A 22225-2025 tillsynsbegäran mail.docx", "A 22225-2025")</f>
        <v/>
      </c>
    </row>
    <row r="560" ht="15" customHeight="1">
      <c r="A560" t="inlineStr">
        <is>
          <t>A 41724-2022</t>
        </is>
      </c>
      <c r="B560" s="1" t="n">
        <v>44827</v>
      </c>
      <c r="C560" s="1" t="n">
        <v>46011</v>
      </c>
      <c r="D560" t="inlineStr">
        <is>
          <t>VÄSTRA GÖTALANDS LÄN</t>
        </is>
      </c>
      <c r="E560" t="inlineStr">
        <is>
          <t>GÖTENE</t>
        </is>
      </c>
      <c r="G560" t="n">
        <v>1.9</v>
      </c>
      <c r="H560" t="n">
        <v>0</v>
      </c>
      <c r="I560" t="n">
        <v>0</v>
      </c>
      <c r="J560" t="n">
        <v>1</v>
      </c>
      <c r="K560" t="n">
        <v>0</v>
      </c>
      <c r="L560" t="n">
        <v>0</v>
      </c>
      <c r="M560" t="n">
        <v>0</v>
      </c>
      <c r="N560" t="n">
        <v>0</v>
      </c>
      <c r="O560" t="n">
        <v>1</v>
      </c>
      <c r="P560" t="n">
        <v>0</v>
      </c>
      <c r="Q560" t="n">
        <v>1</v>
      </c>
      <c r="R560" s="2" t="inlineStr">
        <is>
          <t>Svinrot</t>
        </is>
      </c>
      <c r="S560">
        <f>HYPERLINK("https://klasma.github.io/Logging_1471/artfynd/A 41724-2022 artfynd.xlsx", "A 41724-2022")</f>
        <v/>
      </c>
      <c r="T560">
        <f>HYPERLINK("https://klasma.github.io/Logging_1471/kartor/A 41724-2022 karta.png", "A 41724-2022")</f>
        <v/>
      </c>
      <c r="V560">
        <f>HYPERLINK("https://klasma.github.io/Logging_1471/klagomål/A 41724-2022 FSC-klagomål.docx", "A 41724-2022")</f>
        <v/>
      </c>
      <c r="W560">
        <f>HYPERLINK("https://klasma.github.io/Logging_1471/klagomålsmail/A 41724-2022 FSC-klagomål mail.docx", "A 41724-2022")</f>
        <v/>
      </c>
      <c r="X560">
        <f>HYPERLINK("https://klasma.github.io/Logging_1471/tillsyn/A 41724-2022 tillsynsbegäran.docx", "A 41724-2022")</f>
        <v/>
      </c>
      <c r="Y560">
        <f>HYPERLINK("https://klasma.github.io/Logging_1471/tillsynsmail/A 41724-2022 tillsynsbegäran mail.docx", "A 41724-2022")</f>
        <v/>
      </c>
    </row>
    <row r="561" ht="15" customHeight="1">
      <c r="A561" t="inlineStr">
        <is>
          <t>A 45428-2024</t>
        </is>
      </c>
      <c r="B561" s="1" t="n">
        <v>45576.60858796296</v>
      </c>
      <c r="C561" s="1" t="n">
        <v>46011</v>
      </c>
      <c r="D561" t="inlineStr">
        <is>
          <t>VÄSTRA GÖTALANDS LÄN</t>
        </is>
      </c>
      <c r="E561" t="inlineStr">
        <is>
          <t>FALKÖPING</t>
        </is>
      </c>
      <c r="F561" t="inlineStr">
        <is>
          <t>Kommuner</t>
        </is>
      </c>
      <c r="G561" t="n">
        <v>4.8</v>
      </c>
      <c r="H561" t="n">
        <v>0</v>
      </c>
      <c r="I561" t="n">
        <v>1</v>
      </c>
      <c r="J561" t="n">
        <v>0</v>
      </c>
      <c r="K561" t="n">
        <v>0</v>
      </c>
      <c r="L561" t="n">
        <v>0</v>
      </c>
      <c r="M561" t="n">
        <v>0</v>
      </c>
      <c r="N561" t="n">
        <v>0</v>
      </c>
      <c r="O561" t="n">
        <v>0</v>
      </c>
      <c r="P561" t="n">
        <v>0</v>
      </c>
      <c r="Q561" t="n">
        <v>1</v>
      </c>
      <c r="R561" s="2" t="inlineStr">
        <is>
          <t>Blåmossa</t>
        </is>
      </c>
      <c r="S561">
        <f>HYPERLINK("https://klasma.github.io/Logging_1499/artfynd/A 45428-2024 artfynd.xlsx", "A 45428-2024")</f>
        <v/>
      </c>
      <c r="T561">
        <f>HYPERLINK("https://klasma.github.io/Logging_1499/kartor/A 45428-2024 karta.png", "A 45428-2024")</f>
        <v/>
      </c>
      <c r="V561">
        <f>HYPERLINK("https://klasma.github.io/Logging_1499/klagomål/A 45428-2024 FSC-klagomål.docx", "A 45428-2024")</f>
        <v/>
      </c>
      <c r="W561">
        <f>HYPERLINK("https://klasma.github.io/Logging_1499/klagomålsmail/A 45428-2024 FSC-klagomål mail.docx", "A 45428-2024")</f>
        <v/>
      </c>
      <c r="X561">
        <f>HYPERLINK("https://klasma.github.io/Logging_1499/tillsyn/A 45428-2024 tillsynsbegäran.docx", "A 45428-2024")</f>
        <v/>
      </c>
      <c r="Y561">
        <f>HYPERLINK("https://klasma.github.io/Logging_1499/tillsynsmail/A 45428-2024 tillsynsbegäran mail.docx", "A 45428-2024")</f>
        <v/>
      </c>
    </row>
    <row r="562" ht="15" customHeight="1">
      <c r="A562" t="inlineStr">
        <is>
          <t>A 34574-2025</t>
        </is>
      </c>
      <c r="B562" s="1" t="n">
        <v>45847.59914351852</v>
      </c>
      <c r="C562" s="1" t="n">
        <v>46011</v>
      </c>
      <c r="D562" t="inlineStr">
        <is>
          <t>VÄSTRA GÖTALANDS LÄN</t>
        </is>
      </c>
      <c r="E562" t="inlineStr">
        <is>
          <t>MÖLNDAL</t>
        </is>
      </c>
      <c r="G562" t="n">
        <v>7.4</v>
      </c>
      <c r="H562" t="n">
        <v>1</v>
      </c>
      <c r="I562" t="n">
        <v>0</v>
      </c>
      <c r="J562" t="n">
        <v>0</v>
      </c>
      <c r="K562" t="n">
        <v>0</v>
      </c>
      <c r="L562" t="n">
        <v>0</v>
      </c>
      <c r="M562" t="n">
        <v>0</v>
      </c>
      <c r="N562" t="n">
        <v>0</v>
      </c>
      <c r="O562" t="n">
        <v>0</v>
      </c>
      <c r="P562" t="n">
        <v>0</v>
      </c>
      <c r="Q562" t="n">
        <v>1</v>
      </c>
      <c r="R562" s="2" t="inlineStr">
        <is>
          <t>Mattlummer</t>
        </is>
      </c>
      <c r="S562">
        <f>HYPERLINK("https://klasma.github.io/Logging_1481/artfynd/A 34574-2025 artfynd.xlsx", "A 34574-2025")</f>
        <v/>
      </c>
      <c r="T562">
        <f>HYPERLINK("https://klasma.github.io/Logging_1481/kartor/A 34574-2025 karta.png", "A 34574-2025")</f>
        <v/>
      </c>
      <c r="V562">
        <f>HYPERLINK("https://klasma.github.io/Logging_1481/klagomål/A 34574-2025 FSC-klagomål.docx", "A 34574-2025")</f>
        <v/>
      </c>
      <c r="W562">
        <f>HYPERLINK("https://klasma.github.io/Logging_1481/klagomålsmail/A 34574-2025 FSC-klagomål mail.docx", "A 34574-2025")</f>
        <v/>
      </c>
      <c r="X562">
        <f>HYPERLINK("https://klasma.github.io/Logging_1481/tillsyn/A 34574-2025 tillsynsbegäran.docx", "A 34574-2025")</f>
        <v/>
      </c>
      <c r="Y562">
        <f>HYPERLINK("https://klasma.github.io/Logging_1481/tillsynsmail/A 34574-2025 tillsynsbegäran mail.docx", "A 34574-2025")</f>
        <v/>
      </c>
    </row>
    <row r="563" ht="15" customHeight="1">
      <c r="A563" t="inlineStr">
        <is>
          <t>A 60624-2022</t>
        </is>
      </c>
      <c r="B563" s="1" t="n">
        <v>44911.65568287037</v>
      </c>
      <c r="C563" s="1" t="n">
        <v>46011</v>
      </c>
      <c r="D563" t="inlineStr">
        <is>
          <t>VÄSTRA GÖTALANDS LÄN</t>
        </is>
      </c>
      <c r="E563" t="inlineStr">
        <is>
          <t>FÄRGELANDA</t>
        </is>
      </c>
      <c r="G563" t="n">
        <v>1.7</v>
      </c>
      <c r="H563" t="n">
        <v>1</v>
      </c>
      <c r="I563" t="n">
        <v>0</v>
      </c>
      <c r="J563" t="n">
        <v>0</v>
      </c>
      <c r="K563" t="n">
        <v>0</v>
      </c>
      <c r="L563" t="n">
        <v>0</v>
      </c>
      <c r="M563" t="n">
        <v>0</v>
      </c>
      <c r="N563" t="n">
        <v>0</v>
      </c>
      <c r="O563" t="n">
        <v>0</v>
      </c>
      <c r="P563" t="n">
        <v>0</v>
      </c>
      <c r="Q563" t="n">
        <v>1</v>
      </c>
      <c r="R563" s="2" t="inlineStr">
        <is>
          <t>Revlummer</t>
        </is>
      </c>
      <c r="S563">
        <f>HYPERLINK("https://klasma.github.io/Logging_1439/artfynd/A 60624-2022 artfynd.xlsx", "A 60624-2022")</f>
        <v/>
      </c>
      <c r="T563">
        <f>HYPERLINK("https://klasma.github.io/Logging_1439/kartor/A 60624-2022 karta.png", "A 60624-2022")</f>
        <v/>
      </c>
      <c r="V563">
        <f>HYPERLINK("https://klasma.github.io/Logging_1439/klagomål/A 60624-2022 FSC-klagomål.docx", "A 60624-2022")</f>
        <v/>
      </c>
      <c r="W563">
        <f>HYPERLINK("https://klasma.github.io/Logging_1439/klagomålsmail/A 60624-2022 FSC-klagomål mail.docx", "A 60624-2022")</f>
        <v/>
      </c>
      <c r="X563">
        <f>HYPERLINK("https://klasma.github.io/Logging_1439/tillsyn/A 60624-2022 tillsynsbegäran.docx", "A 60624-2022")</f>
        <v/>
      </c>
      <c r="Y563">
        <f>HYPERLINK("https://klasma.github.io/Logging_1439/tillsynsmail/A 60624-2022 tillsynsbegäran mail.docx", "A 60624-2022")</f>
        <v/>
      </c>
    </row>
    <row r="564" ht="15" customHeight="1">
      <c r="A564" t="inlineStr">
        <is>
          <t>A 47239-2025</t>
        </is>
      </c>
      <c r="B564" s="1" t="n">
        <v>45930.42038194444</v>
      </c>
      <c r="C564" s="1" t="n">
        <v>46011</v>
      </c>
      <c r="D564" t="inlineStr">
        <is>
          <t>VÄSTRA GÖTALANDS LÄN</t>
        </is>
      </c>
      <c r="E564" t="inlineStr">
        <is>
          <t>BOLLEBYGD</t>
        </is>
      </c>
      <c r="G564" t="n">
        <v>1.4</v>
      </c>
      <c r="H564" t="n">
        <v>1</v>
      </c>
      <c r="I564" t="n">
        <v>0</v>
      </c>
      <c r="J564" t="n">
        <v>0</v>
      </c>
      <c r="K564" t="n">
        <v>0</v>
      </c>
      <c r="L564" t="n">
        <v>0</v>
      </c>
      <c r="M564" t="n">
        <v>0</v>
      </c>
      <c r="N564" t="n">
        <v>0</v>
      </c>
      <c r="O564" t="n">
        <v>0</v>
      </c>
      <c r="P564" t="n">
        <v>0</v>
      </c>
      <c r="Q564" t="n">
        <v>1</v>
      </c>
      <c r="R564" s="2" t="inlineStr">
        <is>
          <t>Revlummer</t>
        </is>
      </c>
      <c r="S564">
        <f>HYPERLINK("https://klasma.github.io/Logging_1443/artfynd/A 47239-2025 artfynd.xlsx", "A 47239-2025")</f>
        <v/>
      </c>
      <c r="T564">
        <f>HYPERLINK("https://klasma.github.io/Logging_1443/kartor/A 47239-2025 karta.png", "A 47239-2025")</f>
        <v/>
      </c>
      <c r="V564">
        <f>HYPERLINK("https://klasma.github.io/Logging_1443/klagomål/A 47239-2025 FSC-klagomål.docx", "A 47239-2025")</f>
        <v/>
      </c>
      <c r="W564">
        <f>HYPERLINK("https://klasma.github.io/Logging_1443/klagomålsmail/A 47239-2025 FSC-klagomål mail.docx", "A 47239-2025")</f>
        <v/>
      </c>
      <c r="X564">
        <f>HYPERLINK("https://klasma.github.io/Logging_1443/tillsyn/A 47239-2025 tillsynsbegäran.docx", "A 47239-2025")</f>
        <v/>
      </c>
      <c r="Y564">
        <f>HYPERLINK("https://klasma.github.io/Logging_1443/tillsynsmail/A 47239-2025 tillsynsbegäran mail.docx", "A 47239-2025")</f>
        <v/>
      </c>
    </row>
    <row r="565" ht="15" customHeight="1">
      <c r="A565" t="inlineStr">
        <is>
          <t>A 47393-2025</t>
        </is>
      </c>
      <c r="B565" s="1" t="n">
        <v>45930.60416666666</v>
      </c>
      <c r="C565" s="1" t="n">
        <v>46011</v>
      </c>
      <c r="D565" t="inlineStr">
        <is>
          <t>VÄSTRA GÖTALANDS LÄN</t>
        </is>
      </c>
      <c r="E565" t="inlineStr">
        <is>
          <t>GÖTENE</t>
        </is>
      </c>
      <c r="G565" t="n">
        <v>2</v>
      </c>
      <c r="H565" t="n">
        <v>0</v>
      </c>
      <c r="I565" t="n">
        <v>0</v>
      </c>
      <c r="J565" t="n">
        <v>1</v>
      </c>
      <c r="K565" t="n">
        <v>0</v>
      </c>
      <c r="L565" t="n">
        <v>0</v>
      </c>
      <c r="M565" t="n">
        <v>0</v>
      </c>
      <c r="N565" t="n">
        <v>0</v>
      </c>
      <c r="O565" t="n">
        <v>1</v>
      </c>
      <c r="P565" t="n">
        <v>0</v>
      </c>
      <c r="Q565" t="n">
        <v>1</v>
      </c>
      <c r="R565" s="2" t="inlineStr">
        <is>
          <t>Korallticka</t>
        </is>
      </c>
      <c r="S565">
        <f>HYPERLINK("https://klasma.github.io/Logging_1471/artfynd/A 47393-2025 artfynd.xlsx", "A 47393-2025")</f>
        <v/>
      </c>
      <c r="T565">
        <f>HYPERLINK("https://klasma.github.io/Logging_1471/kartor/A 47393-2025 karta.png", "A 47393-2025")</f>
        <v/>
      </c>
      <c r="V565">
        <f>HYPERLINK("https://klasma.github.io/Logging_1471/klagomål/A 47393-2025 FSC-klagomål.docx", "A 47393-2025")</f>
        <v/>
      </c>
      <c r="W565">
        <f>HYPERLINK("https://klasma.github.io/Logging_1471/klagomålsmail/A 47393-2025 FSC-klagomål mail.docx", "A 47393-2025")</f>
        <v/>
      </c>
      <c r="X565">
        <f>HYPERLINK("https://klasma.github.io/Logging_1471/tillsyn/A 47393-2025 tillsynsbegäran.docx", "A 47393-2025")</f>
        <v/>
      </c>
      <c r="Y565">
        <f>HYPERLINK("https://klasma.github.io/Logging_1471/tillsynsmail/A 47393-2025 tillsynsbegäran mail.docx", "A 47393-2025")</f>
        <v/>
      </c>
    </row>
    <row r="566" ht="15" customHeight="1">
      <c r="A566" t="inlineStr">
        <is>
          <t>A 34899-2025</t>
        </is>
      </c>
      <c r="B566" s="1" t="n">
        <v>45849.49899305555</v>
      </c>
      <c r="C566" s="1" t="n">
        <v>46011</v>
      </c>
      <c r="D566" t="inlineStr">
        <is>
          <t>VÄSTRA GÖTALANDS LÄN</t>
        </is>
      </c>
      <c r="E566" t="inlineStr">
        <is>
          <t>MARK</t>
        </is>
      </c>
      <c r="G566" t="n">
        <v>3.1</v>
      </c>
      <c r="H566" t="n">
        <v>1</v>
      </c>
      <c r="I566" t="n">
        <v>0</v>
      </c>
      <c r="J566" t="n">
        <v>1</v>
      </c>
      <c r="K566" t="n">
        <v>0</v>
      </c>
      <c r="L566" t="n">
        <v>0</v>
      </c>
      <c r="M566" t="n">
        <v>0</v>
      </c>
      <c r="N566" t="n">
        <v>0</v>
      </c>
      <c r="O566" t="n">
        <v>1</v>
      </c>
      <c r="P566" t="n">
        <v>0</v>
      </c>
      <c r="Q566" t="n">
        <v>1</v>
      </c>
      <c r="R566" s="2" t="inlineStr">
        <is>
          <t>Spillkråka</t>
        </is>
      </c>
      <c r="S566">
        <f>HYPERLINK("https://klasma.github.io/Logging_1463/artfynd/A 34899-2025 artfynd.xlsx", "A 34899-2025")</f>
        <v/>
      </c>
      <c r="T566">
        <f>HYPERLINK("https://klasma.github.io/Logging_1463/kartor/A 34899-2025 karta.png", "A 34899-2025")</f>
        <v/>
      </c>
      <c r="V566">
        <f>HYPERLINK("https://klasma.github.io/Logging_1463/klagomål/A 34899-2025 FSC-klagomål.docx", "A 34899-2025")</f>
        <v/>
      </c>
      <c r="W566">
        <f>HYPERLINK("https://klasma.github.io/Logging_1463/klagomålsmail/A 34899-2025 FSC-klagomål mail.docx", "A 34899-2025")</f>
        <v/>
      </c>
      <c r="X566">
        <f>HYPERLINK("https://klasma.github.io/Logging_1463/tillsyn/A 34899-2025 tillsynsbegäran.docx", "A 34899-2025")</f>
        <v/>
      </c>
      <c r="Y566">
        <f>HYPERLINK("https://klasma.github.io/Logging_1463/tillsynsmail/A 34899-2025 tillsynsbegäran mail.docx", "A 34899-2025")</f>
        <v/>
      </c>
      <c r="Z566">
        <f>HYPERLINK("https://klasma.github.io/Logging_1463/fåglar/A 34899-2025 prioriterade fågelarter.docx", "A 34899-2025")</f>
        <v/>
      </c>
    </row>
    <row r="567" ht="15" customHeight="1">
      <c r="A567" t="inlineStr">
        <is>
          <t>A 2531-2024</t>
        </is>
      </c>
      <c r="B567" s="1" t="n">
        <v>45313</v>
      </c>
      <c r="C567" s="1" t="n">
        <v>46011</v>
      </c>
      <c r="D567" t="inlineStr">
        <is>
          <t>VÄSTRA GÖTALANDS LÄN</t>
        </is>
      </c>
      <c r="E567" t="inlineStr">
        <is>
          <t>MUNKEDAL</t>
        </is>
      </c>
      <c r="G567" t="n">
        <v>2.2</v>
      </c>
      <c r="H567" t="n">
        <v>1</v>
      </c>
      <c r="I567" t="n">
        <v>0</v>
      </c>
      <c r="J567" t="n">
        <v>0</v>
      </c>
      <c r="K567" t="n">
        <v>0</v>
      </c>
      <c r="L567" t="n">
        <v>0</v>
      </c>
      <c r="M567" t="n">
        <v>0</v>
      </c>
      <c r="N567" t="n">
        <v>0</v>
      </c>
      <c r="O567" t="n">
        <v>0</v>
      </c>
      <c r="P567" t="n">
        <v>0</v>
      </c>
      <c r="Q567" t="n">
        <v>1</v>
      </c>
      <c r="R567" s="2" t="inlineStr">
        <is>
          <t>Revlummer</t>
        </is>
      </c>
      <c r="S567">
        <f>HYPERLINK("https://klasma.github.io/Logging_1430/artfynd/A 2531-2024 artfynd.xlsx", "A 2531-2024")</f>
        <v/>
      </c>
      <c r="T567">
        <f>HYPERLINK("https://klasma.github.io/Logging_1430/kartor/A 2531-2024 karta.png", "A 2531-2024")</f>
        <v/>
      </c>
      <c r="V567">
        <f>HYPERLINK("https://klasma.github.io/Logging_1430/klagomål/A 2531-2024 FSC-klagomål.docx", "A 2531-2024")</f>
        <v/>
      </c>
      <c r="W567">
        <f>HYPERLINK("https://klasma.github.io/Logging_1430/klagomålsmail/A 2531-2024 FSC-klagomål mail.docx", "A 2531-2024")</f>
        <v/>
      </c>
      <c r="X567">
        <f>HYPERLINK("https://klasma.github.io/Logging_1430/tillsyn/A 2531-2024 tillsynsbegäran.docx", "A 2531-2024")</f>
        <v/>
      </c>
      <c r="Y567">
        <f>HYPERLINK("https://klasma.github.io/Logging_1430/tillsynsmail/A 2531-2024 tillsynsbegäran mail.docx", "A 2531-2024")</f>
        <v/>
      </c>
    </row>
    <row r="568" ht="15" customHeight="1">
      <c r="A568" t="inlineStr">
        <is>
          <t>A 14755-2025</t>
        </is>
      </c>
      <c r="B568" s="1" t="n">
        <v>45742.66724537037</v>
      </c>
      <c r="C568" s="1" t="n">
        <v>46011</v>
      </c>
      <c r="D568" t="inlineStr">
        <is>
          <t>VÄSTRA GÖTALANDS LÄN</t>
        </is>
      </c>
      <c r="E568" t="inlineStr">
        <is>
          <t>TÖREBODA</t>
        </is>
      </c>
      <c r="G568" t="n">
        <v>3</v>
      </c>
      <c r="H568" t="n">
        <v>1</v>
      </c>
      <c r="I568" t="n">
        <v>0</v>
      </c>
      <c r="J568" t="n">
        <v>0</v>
      </c>
      <c r="K568" t="n">
        <v>0</v>
      </c>
      <c r="L568" t="n">
        <v>0</v>
      </c>
      <c r="M568" t="n">
        <v>0</v>
      </c>
      <c r="N568" t="n">
        <v>0</v>
      </c>
      <c r="O568" t="n">
        <v>0</v>
      </c>
      <c r="P568" t="n">
        <v>0</v>
      </c>
      <c r="Q568" t="n">
        <v>1</v>
      </c>
      <c r="R568" s="2" t="inlineStr">
        <is>
          <t>Mattlummer</t>
        </is>
      </c>
      <c r="S568">
        <f>HYPERLINK("https://klasma.github.io/Logging_1473/artfynd/A 14755-2025 artfynd.xlsx", "A 14755-2025")</f>
        <v/>
      </c>
      <c r="T568">
        <f>HYPERLINK("https://klasma.github.io/Logging_1473/kartor/A 14755-2025 karta.png", "A 14755-2025")</f>
        <v/>
      </c>
      <c r="V568">
        <f>HYPERLINK("https://klasma.github.io/Logging_1473/klagomål/A 14755-2025 FSC-klagomål.docx", "A 14755-2025")</f>
        <v/>
      </c>
      <c r="W568">
        <f>HYPERLINK("https://klasma.github.io/Logging_1473/klagomålsmail/A 14755-2025 FSC-klagomål mail.docx", "A 14755-2025")</f>
        <v/>
      </c>
      <c r="X568">
        <f>HYPERLINK("https://klasma.github.io/Logging_1473/tillsyn/A 14755-2025 tillsynsbegäran.docx", "A 14755-2025")</f>
        <v/>
      </c>
      <c r="Y568">
        <f>HYPERLINK("https://klasma.github.io/Logging_1473/tillsynsmail/A 14755-2025 tillsynsbegäran mail.docx", "A 14755-2025")</f>
        <v/>
      </c>
    </row>
    <row r="569" ht="15" customHeight="1">
      <c r="A569" t="inlineStr">
        <is>
          <t>A 8098-2022</t>
        </is>
      </c>
      <c r="B569" s="1" t="n">
        <v>44609</v>
      </c>
      <c r="C569" s="1" t="n">
        <v>46011</v>
      </c>
      <c r="D569" t="inlineStr">
        <is>
          <t>VÄSTRA GÖTALANDS LÄN</t>
        </is>
      </c>
      <c r="E569" t="inlineStr">
        <is>
          <t>TRANEMO</t>
        </is>
      </c>
      <c r="F569" t="inlineStr">
        <is>
          <t>Kommuner</t>
        </is>
      </c>
      <c r="G569" t="n">
        <v>5.3</v>
      </c>
      <c r="H569" t="n">
        <v>0</v>
      </c>
      <c r="I569" t="n">
        <v>0</v>
      </c>
      <c r="J569" t="n">
        <v>1</v>
      </c>
      <c r="K569" t="n">
        <v>0</v>
      </c>
      <c r="L569" t="n">
        <v>0</v>
      </c>
      <c r="M569" t="n">
        <v>0</v>
      </c>
      <c r="N569" t="n">
        <v>0</v>
      </c>
      <c r="O569" t="n">
        <v>1</v>
      </c>
      <c r="P569" t="n">
        <v>0</v>
      </c>
      <c r="Q569" t="n">
        <v>1</v>
      </c>
      <c r="R569" s="2" t="inlineStr">
        <is>
          <t>Brunpudrad nållav</t>
        </is>
      </c>
      <c r="S569">
        <f>HYPERLINK("https://klasma.github.io/Logging_1452/artfynd/A 8098-2022 artfynd.xlsx", "A 8098-2022")</f>
        <v/>
      </c>
      <c r="T569">
        <f>HYPERLINK("https://klasma.github.io/Logging_1452/kartor/A 8098-2022 karta.png", "A 8098-2022")</f>
        <v/>
      </c>
      <c r="V569">
        <f>HYPERLINK("https://klasma.github.io/Logging_1452/klagomål/A 8098-2022 FSC-klagomål.docx", "A 8098-2022")</f>
        <v/>
      </c>
      <c r="W569">
        <f>HYPERLINK("https://klasma.github.io/Logging_1452/klagomålsmail/A 8098-2022 FSC-klagomål mail.docx", "A 8098-2022")</f>
        <v/>
      </c>
      <c r="X569">
        <f>HYPERLINK("https://klasma.github.io/Logging_1452/tillsyn/A 8098-2022 tillsynsbegäran.docx", "A 8098-2022")</f>
        <v/>
      </c>
      <c r="Y569">
        <f>HYPERLINK("https://klasma.github.io/Logging_1452/tillsynsmail/A 8098-2022 tillsynsbegäran mail.docx", "A 8098-2022")</f>
        <v/>
      </c>
    </row>
    <row r="570" ht="15" customHeight="1">
      <c r="A570" t="inlineStr">
        <is>
          <t>A 56035-2025</t>
        </is>
      </c>
      <c r="B570" s="1" t="n">
        <v>45973.60873842592</v>
      </c>
      <c r="C570" s="1" t="n">
        <v>46011</v>
      </c>
      <c r="D570" t="inlineStr">
        <is>
          <t>VÄSTRA GÖTALANDS LÄN</t>
        </is>
      </c>
      <c r="E570" t="inlineStr">
        <is>
          <t>ORUST</t>
        </is>
      </c>
      <c r="G570" t="n">
        <v>15.9</v>
      </c>
      <c r="H570" t="n">
        <v>1</v>
      </c>
      <c r="I570" t="n">
        <v>0</v>
      </c>
      <c r="J570" t="n">
        <v>0</v>
      </c>
      <c r="K570" t="n">
        <v>1</v>
      </c>
      <c r="L570" t="n">
        <v>0</v>
      </c>
      <c r="M570" t="n">
        <v>0</v>
      </c>
      <c r="N570" t="n">
        <v>0</v>
      </c>
      <c r="O570" t="n">
        <v>1</v>
      </c>
      <c r="P570" t="n">
        <v>1</v>
      </c>
      <c r="Q570" t="n">
        <v>1</v>
      </c>
      <c r="R570" s="2" t="inlineStr">
        <is>
          <t>Knärot</t>
        </is>
      </c>
      <c r="S570">
        <f>HYPERLINK("https://klasma.github.io/Logging_1421/artfynd/A 56035-2025 artfynd.xlsx", "A 56035-2025")</f>
        <v/>
      </c>
      <c r="T570">
        <f>HYPERLINK("https://klasma.github.io/Logging_1421/kartor/A 56035-2025 karta.png", "A 56035-2025")</f>
        <v/>
      </c>
      <c r="U570">
        <f>HYPERLINK("https://klasma.github.io/Logging_1421/knärot/A 56035-2025 karta knärot.png", "A 56035-2025")</f>
        <v/>
      </c>
      <c r="V570">
        <f>HYPERLINK("https://klasma.github.io/Logging_1421/klagomål/A 56035-2025 FSC-klagomål.docx", "A 56035-2025")</f>
        <v/>
      </c>
      <c r="W570">
        <f>HYPERLINK("https://klasma.github.io/Logging_1421/klagomålsmail/A 56035-2025 FSC-klagomål mail.docx", "A 56035-2025")</f>
        <v/>
      </c>
      <c r="X570">
        <f>HYPERLINK("https://klasma.github.io/Logging_1421/tillsyn/A 56035-2025 tillsynsbegäran.docx", "A 56035-2025")</f>
        <v/>
      </c>
      <c r="Y570">
        <f>HYPERLINK("https://klasma.github.io/Logging_1421/tillsynsmail/A 56035-2025 tillsynsbegäran mail.docx", "A 56035-2025")</f>
        <v/>
      </c>
    </row>
    <row r="571" ht="15" customHeight="1">
      <c r="A571" t="inlineStr">
        <is>
          <t>A 61818-2024</t>
        </is>
      </c>
      <c r="B571" s="1" t="n">
        <v>45649.61065972222</v>
      </c>
      <c r="C571" s="1" t="n">
        <v>46011</v>
      </c>
      <c r="D571" t="inlineStr">
        <is>
          <t>VÄSTRA GÖTALANDS LÄN</t>
        </is>
      </c>
      <c r="E571" t="inlineStr">
        <is>
          <t>LIDKÖPING</t>
        </is>
      </c>
      <c r="G571" t="n">
        <v>6.2</v>
      </c>
      <c r="H571" t="n">
        <v>1</v>
      </c>
      <c r="I571" t="n">
        <v>0</v>
      </c>
      <c r="J571" t="n">
        <v>1</v>
      </c>
      <c r="K571" t="n">
        <v>0</v>
      </c>
      <c r="L571" t="n">
        <v>0</v>
      </c>
      <c r="M571" t="n">
        <v>0</v>
      </c>
      <c r="N571" t="n">
        <v>0</v>
      </c>
      <c r="O571" t="n">
        <v>1</v>
      </c>
      <c r="P571" t="n">
        <v>0</v>
      </c>
      <c r="Q571" t="n">
        <v>1</v>
      </c>
      <c r="R571" s="2" t="inlineStr">
        <is>
          <t>Rödvingetrast</t>
        </is>
      </c>
      <c r="S571">
        <f>HYPERLINK("https://klasma.github.io/Logging_1494/artfynd/A 61818-2024 artfynd.xlsx", "A 61818-2024")</f>
        <v/>
      </c>
      <c r="T571">
        <f>HYPERLINK("https://klasma.github.io/Logging_1494/kartor/A 61818-2024 karta.png", "A 61818-2024")</f>
        <v/>
      </c>
      <c r="V571">
        <f>HYPERLINK("https://klasma.github.io/Logging_1494/klagomål/A 61818-2024 FSC-klagomål.docx", "A 61818-2024")</f>
        <v/>
      </c>
      <c r="W571">
        <f>HYPERLINK("https://klasma.github.io/Logging_1494/klagomålsmail/A 61818-2024 FSC-klagomål mail.docx", "A 61818-2024")</f>
        <v/>
      </c>
      <c r="X571">
        <f>HYPERLINK("https://klasma.github.io/Logging_1494/tillsyn/A 61818-2024 tillsynsbegäran.docx", "A 61818-2024")</f>
        <v/>
      </c>
      <c r="Y571">
        <f>HYPERLINK("https://klasma.github.io/Logging_1494/tillsynsmail/A 61818-2024 tillsynsbegäran mail.docx", "A 61818-2024")</f>
        <v/>
      </c>
      <c r="Z571">
        <f>HYPERLINK("https://klasma.github.io/Logging_1494/fåglar/A 61818-2024 prioriterade fågelarter.docx", "A 61818-2024")</f>
        <v/>
      </c>
    </row>
    <row r="572" ht="15" customHeight="1">
      <c r="A572" t="inlineStr">
        <is>
          <t>A 50546-2024</t>
        </is>
      </c>
      <c r="B572" s="1" t="n">
        <v>45601.58664351852</v>
      </c>
      <c r="C572" s="1" t="n">
        <v>46011</v>
      </c>
      <c r="D572" t="inlineStr">
        <is>
          <t>VÄSTRA GÖTALANDS LÄN</t>
        </is>
      </c>
      <c r="E572" t="inlineStr">
        <is>
          <t>ÅMÅL</t>
        </is>
      </c>
      <c r="G572" t="n">
        <v>10.2</v>
      </c>
      <c r="H572" t="n">
        <v>0</v>
      </c>
      <c r="I572" t="n">
        <v>1</v>
      </c>
      <c r="J572" t="n">
        <v>0</v>
      </c>
      <c r="K572" t="n">
        <v>0</v>
      </c>
      <c r="L572" t="n">
        <v>0</v>
      </c>
      <c r="M572" t="n">
        <v>0</v>
      </c>
      <c r="N572" t="n">
        <v>0</v>
      </c>
      <c r="O572" t="n">
        <v>0</v>
      </c>
      <c r="P572" t="n">
        <v>0</v>
      </c>
      <c r="Q572" t="n">
        <v>1</v>
      </c>
      <c r="R572" s="2" t="inlineStr">
        <is>
          <t>Platt fjädermossa</t>
        </is>
      </c>
      <c r="S572">
        <f>HYPERLINK("https://klasma.github.io/Logging_1492/artfynd/A 50546-2024 artfynd.xlsx", "A 50546-2024")</f>
        <v/>
      </c>
      <c r="T572">
        <f>HYPERLINK("https://klasma.github.io/Logging_1492/kartor/A 50546-2024 karta.png", "A 50546-2024")</f>
        <v/>
      </c>
      <c r="V572">
        <f>HYPERLINK("https://klasma.github.io/Logging_1492/klagomål/A 50546-2024 FSC-klagomål.docx", "A 50546-2024")</f>
        <v/>
      </c>
      <c r="W572">
        <f>HYPERLINK("https://klasma.github.io/Logging_1492/klagomålsmail/A 50546-2024 FSC-klagomål mail.docx", "A 50546-2024")</f>
        <v/>
      </c>
      <c r="X572">
        <f>HYPERLINK("https://klasma.github.io/Logging_1492/tillsyn/A 50546-2024 tillsynsbegäran.docx", "A 50546-2024")</f>
        <v/>
      </c>
      <c r="Y572">
        <f>HYPERLINK("https://klasma.github.io/Logging_1492/tillsynsmail/A 50546-2024 tillsynsbegäran mail.docx", "A 50546-2024")</f>
        <v/>
      </c>
    </row>
    <row r="573" ht="15" customHeight="1">
      <c r="A573" t="inlineStr">
        <is>
          <t>A 55928-2025</t>
        </is>
      </c>
      <c r="B573" s="1" t="n">
        <v>45973.43586805555</v>
      </c>
      <c r="C573" s="1" t="n">
        <v>46011</v>
      </c>
      <c r="D573" t="inlineStr">
        <is>
          <t>VÄSTRA GÖTALANDS LÄN</t>
        </is>
      </c>
      <c r="E573" t="inlineStr">
        <is>
          <t>SKARA</t>
        </is>
      </c>
      <c r="F573" t="inlineStr">
        <is>
          <t>Sveaskog</t>
        </is>
      </c>
      <c r="G573" t="n">
        <v>5.1</v>
      </c>
      <c r="H573" t="n">
        <v>0</v>
      </c>
      <c r="I573" t="n">
        <v>0</v>
      </c>
      <c r="J573" t="n">
        <v>1</v>
      </c>
      <c r="K573" t="n">
        <v>0</v>
      </c>
      <c r="L573" t="n">
        <v>0</v>
      </c>
      <c r="M573" t="n">
        <v>0</v>
      </c>
      <c r="N573" t="n">
        <v>0</v>
      </c>
      <c r="O573" t="n">
        <v>1</v>
      </c>
      <c r="P573" t="n">
        <v>0</v>
      </c>
      <c r="Q573" t="n">
        <v>1</v>
      </c>
      <c r="R573" s="2" t="inlineStr">
        <is>
          <t>Motaggsvamp</t>
        </is>
      </c>
      <c r="S573">
        <f>HYPERLINK("https://klasma.github.io/Logging_1495/artfynd/A 55928-2025 artfynd.xlsx", "A 55928-2025")</f>
        <v/>
      </c>
      <c r="T573">
        <f>HYPERLINK("https://klasma.github.io/Logging_1495/kartor/A 55928-2025 karta.png", "A 55928-2025")</f>
        <v/>
      </c>
      <c r="V573">
        <f>HYPERLINK("https://klasma.github.io/Logging_1495/klagomål/A 55928-2025 FSC-klagomål.docx", "A 55928-2025")</f>
        <v/>
      </c>
      <c r="W573">
        <f>HYPERLINK("https://klasma.github.io/Logging_1495/klagomålsmail/A 55928-2025 FSC-klagomål mail.docx", "A 55928-2025")</f>
        <v/>
      </c>
      <c r="X573">
        <f>HYPERLINK("https://klasma.github.io/Logging_1495/tillsyn/A 55928-2025 tillsynsbegäran.docx", "A 55928-2025")</f>
        <v/>
      </c>
      <c r="Y573">
        <f>HYPERLINK("https://klasma.github.io/Logging_1495/tillsynsmail/A 55928-2025 tillsynsbegäran mail.docx", "A 55928-2025")</f>
        <v/>
      </c>
    </row>
    <row r="574" ht="15" customHeight="1">
      <c r="A574" t="inlineStr">
        <is>
          <t>A 24407-2023</t>
        </is>
      </c>
      <c r="B574" s="1" t="n">
        <v>45082</v>
      </c>
      <c r="C574" s="1" t="n">
        <v>46011</v>
      </c>
      <c r="D574" t="inlineStr">
        <is>
          <t>VÄSTRA GÖTALANDS LÄN</t>
        </is>
      </c>
      <c r="E574" t="inlineStr">
        <is>
          <t>FALKÖPING</t>
        </is>
      </c>
      <c r="G574" t="n">
        <v>3.1</v>
      </c>
      <c r="H574" t="n">
        <v>1</v>
      </c>
      <c r="I574" t="n">
        <v>0</v>
      </c>
      <c r="J574" t="n">
        <v>1</v>
      </c>
      <c r="K574" t="n">
        <v>0</v>
      </c>
      <c r="L574" t="n">
        <v>0</v>
      </c>
      <c r="M574" t="n">
        <v>0</v>
      </c>
      <c r="N574" t="n">
        <v>0</v>
      </c>
      <c r="O574" t="n">
        <v>1</v>
      </c>
      <c r="P574" t="n">
        <v>0</v>
      </c>
      <c r="Q574" t="n">
        <v>1</v>
      </c>
      <c r="R574" s="2" t="inlineStr">
        <is>
          <t>Havsörn</t>
        </is>
      </c>
      <c r="S574">
        <f>HYPERLINK("https://klasma.github.io/Logging_1499/artfynd/A 24407-2023 artfynd.xlsx", "A 24407-2023")</f>
        <v/>
      </c>
      <c r="T574">
        <f>HYPERLINK("https://klasma.github.io/Logging_1499/kartor/A 24407-2023 karta.png", "A 24407-2023")</f>
        <v/>
      </c>
      <c r="V574">
        <f>HYPERLINK("https://klasma.github.io/Logging_1499/klagomål/A 24407-2023 FSC-klagomål.docx", "A 24407-2023")</f>
        <v/>
      </c>
      <c r="W574">
        <f>HYPERLINK("https://klasma.github.io/Logging_1499/klagomålsmail/A 24407-2023 FSC-klagomål mail.docx", "A 24407-2023")</f>
        <v/>
      </c>
      <c r="X574">
        <f>HYPERLINK("https://klasma.github.io/Logging_1499/tillsyn/A 24407-2023 tillsynsbegäran.docx", "A 24407-2023")</f>
        <v/>
      </c>
      <c r="Y574">
        <f>HYPERLINK("https://klasma.github.io/Logging_1499/tillsynsmail/A 24407-2023 tillsynsbegäran mail.docx", "A 24407-2023")</f>
        <v/>
      </c>
      <c r="Z574">
        <f>HYPERLINK("https://klasma.github.io/Logging_1499/fåglar/A 24407-2023 prioriterade fågelarter.docx", "A 24407-2023")</f>
        <v/>
      </c>
    </row>
    <row r="575" ht="15" customHeight="1">
      <c r="A575" t="inlineStr">
        <is>
          <t>A 36121-2025</t>
        </is>
      </c>
      <c r="B575" s="1" t="n">
        <v>45866.60317129629</v>
      </c>
      <c r="C575" s="1" t="n">
        <v>46011</v>
      </c>
      <c r="D575" t="inlineStr">
        <is>
          <t>VÄSTRA GÖTALANDS LÄN</t>
        </is>
      </c>
      <c r="E575" t="inlineStr">
        <is>
          <t>TANUM</t>
        </is>
      </c>
      <c r="G575" t="n">
        <v>3.3</v>
      </c>
      <c r="H575" t="n">
        <v>1</v>
      </c>
      <c r="I575" t="n">
        <v>0</v>
      </c>
      <c r="J575" t="n">
        <v>0</v>
      </c>
      <c r="K575" t="n">
        <v>0</v>
      </c>
      <c r="L575" t="n">
        <v>0</v>
      </c>
      <c r="M575" t="n">
        <v>0</v>
      </c>
      <c r="N575" t="n">
        <v>0</v>
      </c>
      <c r="O575" t="n">
        <v>0</v>
      </c>
      <c r="P575" t="n">
        <v>0</v>
      </c>
      <c r="Q575" t="n">
        <v>1</v>
      </c>
      <c r="R575" s="2" t="inlineStr">
        <is>
          <t>Blåsippa</t>
        </is>
      </c>
      <c r="S575">
        <f>HYPERLINK("https://klasma.github.io/Logging_1435/artfynd/A 36121-2025 artfynd.xlsx", "A 36121-2025")</f>
        <v/>
      </c>
      <c r="T575">
        <f>HYPERLINK("https://klasma.github.io/Logging_1435/kartor/A 36121-2025 karta.png", "A 36121-2025")</f>
        <v/>
      </c>
      <c r="V575">
        <f>HYPERLINK("https://klasma.github.io/Logging_1435/klagomål/A 36121-2025 FSC-klagomål.docx", "A 36121-2025")</f>
        <v/>
      </c>
      <c r="W575">
        <f>HYPERLINK("https://klasma.github.io/Logging_1435/klagomålsmail/A 36121-2025 FSC-klagomål mail.docx", "A 36121-2025")</f>
        <v/>
      </c>
      <c r="X575">
        <f>HYPERLINK("https://klasma.github.io/Logging_1435/tillsyn/A 36121-2025 tillsynsbegäran.docx", "A 36121-2025")</f>
        <v/>
      </c>
      <c r="Y575">
        <f>HYPERLINK("https://klasma.github.io/Logging_1435/tillsynsmail/A 36121-2025 tillsynsbegäran mail.docx", "A 36121-2025")</f>
        <v/>
      </c>
    </row>
    <row r="576" ht="15" customHeight="1">
      <c r="A576" t="inlineStr">
        <is>
          <t>A 64082-2023</t>
        </is>
      </c>
      <c r="B576" s="1" t="n">
        <v>45279</v>
      </c>
      <c r="C576" s="1" t="n">
        <v>46011</v>
      </c>
      <c r="D576" t="inlineStr">
        <is>
          <t>VÄSTRA GÖTALANDS LÄN</t>
        </is>
      </c>
      <c r="E576" t="inlineStr">
        <is>
          <t>ALINGSÅS</t>
        </is>
      </c>
      <c r="F576" t="inlineStr">
        <is>
          <t>Kommuner</t>
        </is>
      </c>
      <c r="G576" t="n">
        <v>0.7</v>
      </c>
      <c r="H576" t="n">
        <v>1</v>
      </c>
      <c r="I576" t="n">
        <v>0</v>
      </c>
      <c r="J576" t="n">
        <v>1</v>
      </c>
      <c r="K576" t="n">
        <v>0</v>
      </c>
      <c r="L576" t="n">
        <v>0</v>
      </c>
      <c r="M576" t="n">
        <v>0</v>
      </c>
      <c r="N576" t="n">
        <v>0</v>
      </c>
      <c r="O576" t="n">
        <v>1</v>
      </c>
      <c r="P576" t="n">
        <v>0</v>
      </c>
      <c r="Q576" t="n">
        <v>1</v>
      </c>
      <c r="R576" s="2" t="inlineStr">
        <is>
          <t>Grönsångare</t>
        </is>
      </c>
      <c r="S576">
        <f>HYPERLINK("https://klasma.github.io/Logging_1489/artfynd/A 64082-2023 artfynd.xlsx", "A 64082-2023")</f>
        <v/>
      </c>
      <c r="T576">
        <f>HYPERLINK("https://klasma.github.io/Logging_1489/kartor/A 64082-2023 karta.png", "A 64082-2023")</f>
        <v/>
      </c>
      <c r="V576">
        <f>HYPERLINK("https://klasma.github.io/Logging_1489/klagomål/A 64082-2023 FSC-klagomål.docx", "A 64082-2023")</f>
        <v/>
      </c>
      <c r="W576">
        <f>HYPERLINK("https://klasma.github.io/Logging_1489/klagomålsmail/A 64082-2023 FSC-klagomål mail.docx", "A 64082-2023")</f>
        <v/>
      </c>
      <c r="X576">
        <f>HYPERLINK("https://klasma.github.io/Logging_1489/tillsyn/A 64082-2023 tillsynsbegäran.docx", "A 64082-2023")</f>
        <v/>
      </c>
      <c r="Y576">
        <f>HYPERLINK("https://klasma.github.io/Logging_1489/tillsynsmail/A 64082-2023 tillsynsbegäran mail.docx", "A 64082-2023")</f>
        <v/>
      </c>
      <c r="Z576">
        <f>HYPERLINK("https://klasma.github.io/Logging_1489/fåglar/A 64082-2023 prioriterade fågelarter.docx", "A 64082-2023")</f>
        <v/>
      </c>
    </row>
    <row r="577" ht="15" customHeight="1">
      <c r="A577" t="inlineStr">
        <is>
          <t>A 22733-2025</t>
        </is>
      </c>
      <c r="B577" s="1" t="n">
        <v>45789.58555555555</v>
      </c>
      <c r="C577" s="1" t="n">
        <v>46011</v>
      </c>
      <c r="D577" t="inlineStr">
        <is>
          <t>VÄSTRA GÖTALANDS LÄN</t>
        </is>
      </c>
      <c r="E577" t="inlineStr">
        <is>
          <t>STENUNGSUND</t>
        </is>
      </c>
      <c r="G577" t="n">
        <v>1.2</v>
      </c>
      <c r="H577" t="n">
        <v>1</v>
      </c>
      <c r="I577" t="n">
        <v>0</v>
      </c>
      <c r="J577" t="n">
        <v>0</v>
      </c>
      <c r="K577" t="n">
        <v>0</v>
      </c>
      <c r="L577" t="n">
        <v>0</v>
      </c>
      <c r="M577" t="n">
        <v>0</v>
      </c>
      <c r="N577" t="n">
        <v>0</v>
      </c>
      <c r="O577" t="n">
        <v>0</v>
      </c>
      <c r="P577" t="n">
        <v>0</v>
      </c>
      <c r="Q577" t="n">
        <v>1</v>
      </c>
      <c r="R577" s="2" t="inlineStr">
        <is>
          <t>Revlummer</t>
        </is>
      </c>
      <c r="S577">
        <f>HYPERLINK("https://klasma.github.io/Logging_1415/artfynd/A 22733-2025 artfynd.xlsx", "A 22733-2025")</f>
        <v/>
      </c>
      <c r="T577">
        <f>HYPERLINK("https://klasma.github.io/Logging_1415/kartor/A 22733-2025 karta.png", "A 22733-2025")</f>
        <v/>
      </c>
      <c r="V577">
        <f>HYPERLINK("https://klasma.github.io/Logging_1415/klagomål/A 22733-2025 FSC-klagomål.docx", "A 22733-2025")</f>
        <v/>
      </c>
      <c r="W577">
        <f>HYPERLINK("https://klasma.github.io/Logging_1415/klagomålsmail/A 22733-2025 FSC-klagomål mail.docx", "A 22733-2025")</f>
        <v/>
      </c>
      <c r="X577">
        <f>HYPERLINK("https://klasma.github.io/Logging_1415/tillsyn/A 22733-2025 tillsynsbegäran.docx", "A 22733-2025")</f>
        <v/>
      </c>
      <c r="Y577">
        <f>HYPERLINK("https://klasma.github.io/Logging_1415/tillsynsmail/A 22733-2025 tillsynsbegäran mail.docx", "A 22733-2025")</f>
        <v/>
      </c>
    </row>
    <row r="578" ht="15" customHeight="1">
      <c r="A578" t="inlineStr">
        <is>
          <t>A 54675-2024</t>
        </is>
      </c>
      <c r="B578" s="1" t="n">
        <v>45618.34292824074</v>
      </c>
      <c r="C578" s="1" t="n">
        <v>46011</v>
      </c>
      <c r="D578" t="inlineStr">
        <is>
          <t>VÄSTRA GÖTALANDS LÄN</t>
        </is>
      </c>
      <c r="E578" t="inlineStr">
        <is>
          <t>MARK</t>
        </is>
      </c>
      <c r="G578" t="n">
        <v>2.5</v>
      </c>
      <c r="H578" t="n">
        <v>1</v>
      </c>
      <c r="I578" t="n">
        <v>0</v>
      </c>
      <c r="J578" t="n">
        <v>0</v>
      </c>
      <c r="K578" t="n">
        <v>0</v>
      </c>
      <c r="L578" t="n">
        <v>0</v>
      </c>
      <c r="M578" t="n">
        <v>0</v>
      </c>
      <c r="N578" t="n">
        <v>0</v>
      </c>
      <c r="O578" t="n">
        <v>0</v>
      </c>
      <c r="P578" t="n">
        <v>0</v>
      </c>
      <c r="Q578" t="n">
        <v>1</v>
      </c>
      <c r="R578" s="2" t="inlineStr">
        <is>
          <t>Huggorm</t>
        </is>
      </c>
      <c r="S578">
        <f>HYPERLINK("https://klasma.github.io/Logging_1463/artfynd/A 54675-2024 artfynd.xlsx", "A 54675-2024")</f>
        <v/>
      </c>
      <c r="T578">
        <f>HYPERLINK("https://klasma.github.io/Logging_1463/kartor/A 54675-2024 karta.png", "A 54675-2024")</f>
        <v/>
      </c>
      <c r="V578">
        <f>HYPERLINK("https://klasma.github.io/Logging_1463/klagomål/A 54675-2024 FSC-klagomål.docx", "A 54675-2024")</f>
        <v/>
      </c>
      <c r="W578">
        <f>HYPERLINK("https://klasma.github.io/Logging_1463/klagomålsmail/A 54675-2024 FSC-klagomål mail.docx", "A 54675-2024")</f>
        <v/>
      </c>
      <c r="X578">
        <f>HYPERLINK("https://klasma.github.io/Logging_1463/tillsyn/A 54675-2024 tillsynsbegäran.docx", "A 54675-2024")</f>
        <v/>
      </c>
      <c r="Y578">
        <f>HYPERLINK("https://klasma.github.io/Logging_1463/tillsynsmail/A 54675-2024 tillsynsbegäran mail.docx", "A 54675-2024")</f>
        <v/>
      </c>
    </row>
    <row r="579" ht="15" customHeight="1">
      <c r="A579" t="inlineStr">
        <is>
          <t>A 63493-2023</t>
        </is>
      </c>
      <c r="B579" s="1" t="n">
        <v>45274</v>
      </c>
      <c r="C579" s="1" t="n">
        <v>46011</v>
      </c>
      <c r="D579" t="inlineStr">
        <is>
          <t>VÄSTRA GÖTALANDS LÄN</t>
        </is>
      </c>
      <c r="E579" t="inlineStr">
        <is>
          <t>ALINGSÅS</t>
        </is>
      </c>
      <c r="F579" t="inlineStr">
        <is>
          <t>Kommuner</t>
        </is>
      </c>
      <c r="G579" t="n">
        <v>3.7</v>
      </c>
      <c r="H579" t="n">
        <v>1</v>
      </c>
      <c r="I579" t="n">
        <v>0</v>
      </c>
      <c r="J579" t="n">
        <v>0</v>
      </c>
      <c r="K579" t="n">
        <v>0</v>
      </c>
      <c r="L579" t="n">
        <v>0</v>
      </c>
      <c r="M579" t="n">
        <v>0</v>
      </c>
      <c r="N579" t="n">
        <v>0</v>
      </c>
      <c r="O579" t="n">
        <v>0</v>
      </c>
      <c r="P579" t="n">
        <v>0</v>
      </c>
      <c r="Q579" t="n">
        <v>1</v>
      </c>
      <c r="R579" s="2" t="inlineStr">
        <is>
          <t>Kungsfågel</t>
        </is>
      </c>
      <c r="S579">
        <f>HYPERLINK("https://klasma.github.io/Logging_1489/artfynd/A 63493-2023 artfynd.xlsx", "A 63493-2023")</f>
        <v/>
      </c>
      <c r="T579">
        <f>HYPERLINK("https://klasma.github.io/Logging_1489/kartor/A 63493-2023 karta.png", "A 63493-2023")</f>
        <v/>
      </c>
      <c r="V579">
        <f>HYPERLINK("https://klasma.github.io/Logging_1489/klagomål/A 63493-2023 FSC-klagomål.docx", "A 63493-2023")</f>
        <v/>
      </c>
      <c r="W579">
        <f>HYPERLINK("https://klasma.github.io/Logging_1489/klagomålsmail/A 63493-2023 FSC-klagomål mail.docx", "A 63493-2023")</f>
        <v/>
      </c>
      <c r="X579">
        <f>HYPERLINK("https://klasma.github.io/Logging_1489/tillsyn/A 63493-2023 tillsynsbegäran.docx", "A 63493-2023")</f>
        <v/>
      </c>
      <c r="Y579">
        <f>HYPERLINK("https://klasma.github.io/Logging_1489/tillsynsmail/A 63493-2023 tillsynsbegäran mail.docx", "A 63493-2023")</f>
        <v/>
      </c>
      <c r="Z579">
        <f>HYPERLINK("https://klasma.github.io/Logging_1489/fåglar/A 63493-2023 prioriterade fågelarter.docx", "A 63493-2023")</f>
        <v/>
      </c>
    </row>
    <row r="580" ht="15" customHeight="1">
      <c r="A580" t="inlineStr">
        <is>
          <t>A 60261-2024</t>
        </is>
      </c>
      <c r="B580" s="1" t="n">
        <v>45642</v>
      </c>
      <c r="C580" s="1" t="n">
        <v>46011</v>
      </c>
      <c r="D580" t="inlineStr">
        <is>
          <t>VÄSTRA GÖTALANDS LÄN</t>
        </is>
      </c>
      <c r="E580" t="inlineStr">
        <is>
          <t>LYSEKIL</t>
        </is>
      </c>
      <c r="G580" t="n">
        <v>0.7</v>
      </c>
      <c r="H580" t="n">
        <v>1</v>
      </c>
      <c r="I580" t="n">
        <v>0</v>
      </c>
      <c r="J580" t="n">
        <v>0</v>
      </c>
      <c r="K580" t="n">
        <v>0</v>
      </c>
      <c r="L580" t="n">
        <v>0</v>
      </c>
      <c r="M580" t="n">
        <v>0</v>
      </c>
      <c r="N580" t="n">
        <v>0</v>
      </c>
      <c r="O580" t="n">
        <v>0</v>
      </c>
      <c r="P580" t="n">
        <v>0</v>
      </c>
      <c r="Q580" t="n">
        <v>1</v>
      </c>
      <c r="R580" s="2" t="inlineStr">
        <is>
          <t>Blåsippa</t>
        </is>
      </c>
      <c r="S580">
        <f>HYPERLINK("https://klasma.github.io/Logging_1484/artfynd/A 60261-2024 artfynd.xlsx", "A 60261-2024")</f>
        <v/>
      </c>
      <c r="T580">
        <f>HYPERLINK("https://klasma.github.io/Logging_1484/kartor/A 60261-2024 karta.png", "A 60261-2024")</f>
        <v/>
      </c>
      <c r="V580">
        <f>HYPERLINK("https://klasma.github.io/Logging_1484/klagomål/A 60261-2024 FSC-klagomål.docx", "A 60261-2024")</f>
        <v/>
      </c>
      <c r="W580">
        <f>HYPERLINK("https://klasma.github.io/Logging_1484/klagomålsmail/A 60261-2024 FSC-klagomål mail.docx", "A 60261-2024")</f>
        <v/>
      </c>
      <c r="X580">
        <f>HYPERLINK("https://klasma.github.io/Logging_1484/tillsyn/A 60261-2024 tillsynsbegäran.docx", "A 60261-2024")</f>
        <v/>
      </c>
      <c r="Y580">
        <f>HYPERLINK("https://klasma.github.io/Logging_1484/tillsynsmail/A 60261-2024 tillsynsbegäran mail.docx", "A 60261-2024")</f>
        <v/>
      </c>
    </row>
    <row r="581" ht="15" customHeight="1">
      <c r="A581" t="inlineStr">
        <is>
          <t>A 58906-2022</t>
        </is>
      </c>
      <c r="B581" s="1" t="n">
        <v>44896</v>
      </c>
      <c r="C581" s="1" t="n">
        <v>46011</v>
      </c>
      <c r="D581" t="inlineStr">
        <is>
          <t>VÄSTRA GÖTALANDS LÄN</t>
        </is>
      </c>
      <c r="E581" t="inlineStr">
        <is>
          <t>MELLERUD</t>
        </is>
      </c>
      <c r="G581" t="n">
        <v>22</v>
      </c>
      <c r="H581" t="n">
        <v>1</v>
      </c>
      <c r="I581" t="n">
        <v>1</v>
      </c>
      <c r="J581" t="n">
        <v>0</v>
      </c>
      <c r="K581" t="n">
        <v>0</v>
      </c>
      <c r="L581" t="n">
        <v>0</v>
      </c>
      <c r="M581" t="n">
        <v>0</v>
      </c>
      <c r="N581" t="n">
        <v>0</v>
      </c>
      <c r="O581" t="n">
        <v>0</v>
      </c>
      <c r="P581" t="n">
        <v>0</v>
      </c>
      <c r="Q581" t="n">
        <v>1</v>
      </c>
      <c r="R581" s="2" t="inlineStr">
        <is>
          <t>Skogsknipprot</t>
        </is>
      </c>
      <c r="S581">
        <f>HYPERLINK("https://klasma.github.io/Logging_1461/artfynd/A 58906-2022 artfynd.xlsx", "A 58906-2022")</f>
        <v/>
      </c>
      <c r="T581">
        <f>HYPERLINK("https://klasma.github.io/Logging_1461/kartor/A 58906-2022 karta.png", "A 58906-2022")</f>
        <v/>
      </c>
      <c r="V581">
        <f>HYPERLINK("https://klasma.github.io/Logging_1461/klagomål/A 58906-2022 FSC-klagomål.docx", "A 58906-2022")</f>
        <v/>
      </c>
      <c r="W581">
        <f>HYPERLINK("https://klasma.github.io/Logging_1461/klagomålsmail/A 58906-2022 FSC-klagomål mail.docx", "A 58906-2022")</f>
        <v/>
      </c>
      <c r="X581">
        <f>HYPERLINK("https://klasma.github.io/Logging_1461/tillsyn/A 58906-2022 tillsynsbegäran.docx", "A 58906-2022")</f>
        <v/>
      </c>
      <c r="Y581">
        <f>HYPERLINK("https://klasma.github.io/Logging_1461/tillsynsmail/A 58906-2022 tillsynsbegäran mail.docx", "A 58906-2022")</f>
        <v/>
      </c>
    </row>
    <row r="582" ht="15" customHeight="1">
      <c r="A582" t="inlineStr">
        <is>
          <t>A 62043-2024</t>
        </is>
      </c>
      <c r="B582" s="1" t="n">
        <v>45656.35826388889</v>
      </c>
      <c r="C582" s="1" t="n">
        <v>46011</v>
      </c>
      <c r="D582" t="inlineStr">
        <is>
          <t>VÄSTRA GÖTALANDS LÄN</t>
        </is>
      </c>
      <c r="E582" t="inlineStr">
        <is>
          <t>UDDEVALLA</t>
        </is>
      </c>
      <c r="F582" t="inlineStr">
        <is>
          <t>Kommuner</t>
        </is>
      </c>
      <c r="G582" t="n">
        <v>2.7</v>
      </c>
      <c r="H582" t="n">
        <v>1</v>
      </c>
      <c r="I582" t="n">
        <v>0</v>
      </c>
      <c r="J582" t="n">
        <v>1</v>
      </c>
      <c r="K582" t="n">
        <v>0</v>
      </c>
      <c r="L582" t="n">
        <v>0</v>
      </c>
      <c r="M582" t="n">
        <v>0</v>
      </c>
      <c r="N582" t="n">
        <v>0</v>
      </c>
      <c r="O582" t="n">
        <v>1</v>
      </c>
      <c r="P582" t="n">
        <v>0</v>
      </c>
      <c r="Q582" t="n">
        <v>1</v>
      </c>
      <c r="R582" s="2" t="inlineStr">
        <is>
          <t>Spillkråka</t>
        </is>
      </c>
      <c r="S582">
        <f>HYPERLINK("https://klasma.github.io/Logging_1485/artfynd/A 62043-2024 artfynd.xlsx", "A 62043-2024")</f>
        <v/>
      </c>
      <c r="T582">
        <f>HYPERLINK("https://klasma.github.io/Logging_1485/kartor/A 62043-2024 karta.png", "A 62043-2024")</f>
        <v/>
      </c>
      <c r="V582">
        <f>HYPERLINK("https://klasma.github.io/Logging_1485/klagomål/A 62043-2024 FSC-klagomål.docx", "A 62043-2024")</f>
        <v/>
      </c>
      <c r="W582">
        <f>HYPERLINK("https://klasma.github.io/Logging_1485/klagomålsmail/A 62043-2024 FSC-klagomål mail.docx", "A 62043-2024")</f>
        <v/>
      </c>
      <c r="X582">
        <f>HYPERLINK("https://klasma.github.io/Logging_1485/tillsyn/A 62043-2024 tillsynsbegäran.docx", "A 62043-2024")</f>
        <v/>
      </c>
      <c r="Y582">
        <f>HYPERLINK("https://klasma.github.io/Logging_1485/tillsynsmail/A 62043-2024 tillsynsbegäran mail.docx", "A 62043-2024")</f>
        <v/>
      </c>
      <c r="Z582">
        <f>HYPERLINK("https://klasma.github.io/Logging_1485/fåglar/A 62043-2024 prioriterade fågelarter.docx", "A 62043-2024")</f>
        <v/>
      </c>
    </row>
    <row r="583" ht="15" customHeight="1">
      <c r="A583" t="inlineStr">
        <is>
          <t>A 16618-2022</t>
        </is>
      </c>
      <c r="B583" s="1" t="n">
        <v>44672.59796296297</v>
      </c>
      <c r="C583" s="1" t="n">
        <v>46011</v>
      </c>
      <c r="D583" t="inlineStr">
        <is>
          <t>VÄSTRA GÖTALANDS LÄN</t>
        </is>
      </c>
      <c r="E583" t="inlineStr">
        <is>
          <t>MUNKEDAL</t>
        </is>
      </c>
      <c r="G583" t="n">
        <v>0.8</v>
      </c>
      <c r="H583" t="n">
        <v>1</v>
      </c>
      <c r="I583" t="n">
        <v>0</v>
      </c>
      <c r="J583" t="n">
        <v>0</v>
      </c>
      <c r="K583" t="n">
        <v>0</v>
      </c>
      <c r="L583" t="n">
        <v>0</v>
      </c>
      <c r="M583" t="n">
        <v>0</v>
      </c>
      <c r="N583" t="n">
        <v>0</v>
      </c>
      <c r="O583" t="n">
        <v>0</v>
      </c>
      <c r="P583" t="n">
        <v>0</v>
      </c>
      <c r="Q583" t="n">
        <v>1</v>
      </c>
      <c r="R583" s="2" t="inlineStr">
        <is>
          <t>Vanlig padda</t>
        </is>
      </c>
      <c r="S583">
        <f>HYPERLINK("https://klasma.github.io/Logging_1430/artfynd/A 16618-2022 artfynd.xlsx", "A 16618-2022")</f>
        <v/>
      </c>
      <c r="T583">
        <f>HYPERLINK("https://klasma.github.io/Logging_1430/kartor/A 16618-2022 karta.png", "A 16618-2022")</f>
        <v/>
      </c>
      <c r="V583">
        <f>HYPERLINK("https://klasma.github.io/Logging_1430/klagomål/A 16618-2022 FSC-klagomål.docx", "A 16618-2022")</f>
        <v/>
      </c>
      <c r="W583">
        <f>HYPERLINK("https://klasma.github.io/Logging_1430/klagomålsmail/A 16618-2022 FSC-klagomål mail.docx", "A 16618-2022")</f>
        <v/>
      </c>
      <c r="X583">
        <f>HYPERLINK("https://klasma.github.io/Logging_1430/tillsyn/A 16618-2022 tillsynsbegäran.docx", "A 16618-2022")</f>
        <v/>
      </c>
      <c r="Y583">
        <f>HYPERLINK("https://klasma.github.io/Logging_1430/tillsynsmail/A 16618-2022 tillsynsbegäran mail.docx", "A 16618-2022")</f>
        <v/>
      </c>
    </row>
    <row r="584" ht="15" customHeight="1">
      <c r="A584" t="inlineStr">
        <is>
          <t>A 48101-2025</t>
        </is>
      </c>
      <c r="B584" s="1" t="n">
        <v>45933</v>
      </c>
      <c r="C584" s="1" t="n">
        <v>46011</v>
      </c>
      <c r="D584" t="inlineStr">
        <is>
          <t>VÄSTRA GÖTALANDS LÄN</t>
        </is>
      </c>
      <c r="E584" t="inlineStr">
        <is>
          <t>SKARA</t>
        </is>
      </c>
      <c r="G584" t="n">
        <v>1.2</v>
      </c>
      <c r="H584" t="n">
        <v>0</v>
      </c>
      <c r="I584" t="n">
        <v>0</v>
      </c>
      <c r="J584" t="n">
        <v>0</v>
      </c>
      <c r="K584" t="n">
        <v>1</v>
      </c>
      <c r="L584" t="n">
        <v>0</v>
      </c>
      <c r="M584" t="n">
        <v>0</v>
      </c>
      <c r="N584" t="n">
        <v>0</v>
      </c>
      <c r="O584" t="n">
        <v>1</v>
      </c>
      <c r="P584" t="n">
        <v>1</v>
      </c>
      <c r="Q584" t="n">
        <v>1</v>
      </c>
      <c r="R584" s="2" t="inlineStr">
        <is>
          <t>Plattsäv</t>
        </is>
      </c>
      <c r="S584">
        <f>HYPERLINK("https://klasma.github.io/Logging_1495/artfynd/A 48101-2025 artfynd.xlsx", "A 48101-2025")</f>
        <v/>
      </c>
      <c r="T584">
        <f>HYPERLINK("https://klasma.github.io/Logging_1495/kartor/A 48101-2025 karta.png", "A 48101-2025")</f>
        <v/>
      </c>
      <c r="V584">
        <f>HYPERLINK("https://klasma.github.io/Logging_1495/klagomål/A 48101-2025 FSC-klagomål.docx", "A 48101-2025")</f>
        <v/>
      </c>
      <c r="W584">
        <f>HYPERLINK("https://klasma.github.io/Logging_1495/klagomålsmail/A 48101-2025 FSC-klagomål mail.docx", "A 48101-2025")</f>
        <v/>
      </c>
      <c r="X584">
        <f>HYPERLINK("https://klasma.github.io/Logging_1495/tillsyn/A 48101-2025 tillsynsbegäran.docx", "A 48101-2025")</f>
        <v/>
      </c>
      <c r="Y584">
        <f>HYPERLINK("https://klasma.github.io/Logging_1495/tillsynsmail/A 48101-2025 tillsynsbegäran mail.docx", "A 48101-2025")</f>
        <v/>
      </c>
    </row>
    <row r="585" ht="15" customHeight="1">
      <c r="A585" t="inlineStr">
        <is>
          <t>A 64182-2023</t>
        </is>
      </c>
      <c r="B585" s="1" t="n">
        <v>45279.65201388889</v>
      </c>
      <c r="C585" s="1" t="n">
        <v>46011</v>
      </c>
      <c r="D585" t="inlineStr">
        <is>
          <t>VÄSTRA GÖTALANDS LÄN</t>
        </is>
      </c>
      <c r="E585" t="inlineStr">
        <is>
          <t>ALINGSÅS</t>
        </is>
      </c>
      <c r="F585" t="inlineStr">
        <is>
          <t>Kommuner</t>
        </is>
      </c>
      <c r="G585" t="n">
        <v>0.9</v>
      </c>
      <c r="H585" t="n">
        <v>1</v>
      </c>
      <c r="I585" t="n">
        <v>0</v>
      </c>
      <c r="J585" t="n">
        <v>0</v>
      </c>
      <c r="K585" t="n">
        <v>0</v>
      </c>
      <c r="L585" t="n">
        <v>0</v>
      </c>
      <c r="M585" t="n">
        <v>0</v>
      </c>
      <c r="N585" t="n">
        <v>0</v>
      </c>
      <c r="O585" t="n">
        <v>0</v>
      </c>
      <c r="P585" t="n">
        <v>0</v>
      </c>
      <c r="Q585" t="n">
        <v>1</v>
      </c>
      <c r="R585" s="2" t="inlineStr">
        <is>
          <t>Revlummer</t>
        </is>
      </c>
      <c r="S585">
        <f>HYPERLINK("https://klasma.github.io/Logging_1489/artfynd/A 64182-2023 artfynd.xlsx", "A 64182-2023")</f>
        <v/>
      </c>
      <c r="T585">
        <f>HYPERLINK("https://klasma.github.io/Logging_1489/kartor/A 64182-2023 karta.png", "A 64182-2023")</f>
        <v/>
      </c>
      <c r="V585">
        <f>HYPERLINK("https://klasma.github.io/Logging_1489/klagomål/A 64182-2023 FSC-klagomål.docx", "A 64182-2023")</f>
        <v/>
      </c>
      <c r="W585">
        <f>HYPERLINK("https://klasma.github.io/Logging_1489/klagomålsmail/A 64182-2023 FSC-klagomål mail.docx", "A 64182-2023")</f>
        <v/>
      </c>
      <c r="X585">
        <f>HYPERLINK("https://klasma.github.io/Logging_1489/tillsyn/A 64182-2023 tillsynsbegäran.docx", "A 64182-2023")</f>
        <v/>
      </c>
      <c r="Y585">
        <f>HYPERLINK("https://klasma.github.io/Logging_1489/tillsynsmail/A 64182-2023 tillsynsbegäran mail.docx", "A 64182-2023")</f>
        <v/>
      </c>
    </row>
    <row r="586" ht="15" customHeight="1">
      <c r="A586" t="inlineStr">
        <is>
          <t>A 25467-2022</t>
        </is>
      </c>
      <c r="B586" s="1" t="n">
        <v>44732</v>
      </c>
      <c r="C586" s="1" t="n">
        <v>46011</v>
      </c>
      <c r="D586" t="inlineStr">
        <is>
          <t>VÄSTRA GÖTALANDS LÄN</t>
        </is>
      </c>
      <c r="E586" t="inlineStr">
        <is>
          <t>TRANEMO</t>
        </is>
      </c>
      <c r="F586" t="inlineStr">
        <is>
          <t>Kommuner</t>
        </is>
      </c>
      <c r="G586" t="n">
        <v>11.8</v>
      </c>
      <c r="H586" t="n">
        <v>0</v>
      </c>
      <c r="I586" t="n">
        <v>0</v>
      </c>
      <c r="J586" t="n">
        <v>1</v>
      </c>
      <c r="K586" t="n">
        <v>0</v>
      </c>
      <c r="L586" t="n">
        <v>0</v>
      </c>
      <c r="M586" t="n">
        <v>0</v>
      </c>
      <c r="N586" t="n">
        <v>0</v>
      </c>
      <c r="O586" t="n">
        <v>1</v>
      </c>
      <c r="P586" t="n">
        <v>0</v>
      </c>
      <c r="Q586" t="n">
        <v>1</v>
      </c>
      <c r="R586" s="2" t="inlineStr">
        <is>
          <t>Borsttåg</t>
        </is>
      </c>
      <c r="S586">
        <f>HYPERLINK("https://klasma.github.io/Logging_1452/artfynd/A 25467-2022 artfynd.xlsx", "A 25467-2022")</f>
        <v/>
      </c>
      <c r="T586">
        <f>HYPERLINK("https://klasma.github.io/Logging_1452/kartor/A 25467-2022 karta.png", "A 25467-2022")</f>
        <v/>
      </c>
      <c r="V586">
        <f>HYPERLINK("https://klasma.github.io/Logging_1452/klagomål/A 25467-2022 FSC-klagomål.docx", "A 25467-2022")</f>
        <v/>
      </c>
      <c r="W586">
        <f>HYPERLINK("https://klasma.github.io/Logging_1452/klagomålsmail/A 25467-2022 FSC-klagomål mail.docx", "A 25467-2022")</f>
        <v/>
      </c>
      <c r="X586">
        <f>HYPERLINK("https://klasma.github.io/Logging_1452/tillsyn/A 25467-2022 tillsynsbegäran.docx", "A 25467-2022")</f>
        <v/>
      </c>
      <c r="Y586">
        <f>HYPERLINK("https://klasma.github.io/Logging_1452/tillsynsmail/A 25467-2022 tillsynsbegäran mail.docx", "A 25467-2022")</f>
        <v/>
      </c>
    </row>
    <row r="587" ht="15" customHeight="1">
      <c r="A587" t="inlineStr">
        <is>
          <t>A 57759-2024</t>
        </is>
      </c>
      <c r="B587" s="1" t="n">
        <v>45630.84898148148</v>
      </c>
      <c r="C587" s="1" t="n">
        <v>46011</v>
      </c>
      <c r="D587" t="inlineStr">
        <is>
          <t>VÄSTRA GÖTALANDS LÄN</t>
        </is>
      </c>
      <c r="E587" t="inlineStr">
        <is>
          <t>ALINGSÅS</t>
        </is>
      </c>
      <c r="F587" t="inlineStr">
        <is>
          <t>Kommuner</t>
        </is>
      </c>
      <c r="G587" t="n">
        <v>4.5</v>
      </c>
      <c r="H587" t="n">
        <v>1</v>
      </c>
      <c r="I587" t="n">
        <v>0</v>
      </c>
      <c r="J587" t="n">
        <v>1</v>
      </c>
      <c r="K587" t="n">
        <v>0</v>
      </c>
      <c r="L587" t="n">
        <v>0</v>
      </c>
      <c r="M587" t="n">
        <v>0</v>
      </c>
      <c r="N587" t="n">
        <v>0</v>
      </c>
      <c r="O587" t="n">
        <v>1</v>
      </c>
      <c r="P587" t="n">
        <v>0</v>
      </c>
      <c r="Q587" t="n">
        <v>1</v>
      </c>
      <c r="R587" s="2" t="inlineStr">
        <is>
          <t>Spillkråka</t>
        </is>
      </c>
      <c r="S587">
        <f>HYPERLINK("https://klasma.github.io/Logging_1489/artfynd/A 57759-2024 artfynd.xlsx", "A 57759-2024")</f>
        <v/>
      </c>
      <c r="T587">
        <f>HYPERLINK("https://klasma.github.io/Logging_1489/kartor/A 57759-2024 karta.png", "A 57759-2024")</f>
        <v/>
      </c>
      <c r="V587">
        <f>HYPERLINK("https://klasma.github.io/Logging_1489/klagomål/A 57759-2024 FSC-klagomål.docx", "A 57759-2024")</f>
        <v/>
      </c>
      <c r="W587">
        <f>HYPERLINK("https://klasma.github.io/Logging_1489/klagomålsmail/A 57759-2024 FSC-klagomål mail.docx", "A 57759-2024")</f>
        <v/>
      </c>
      <c r="X587">
        <f>HYPERLINK("https://klasma.github.io/Logging_1489/tillsyn/A 57759-2024 tillsynsbegäran.docx", "A 57759-2024")</f>
        <v/>
      </c>
      <c r="Y587">
        <f>HYPERLINK("https://klasma.github.io/Logging_1489/tillsynsmail/A 57759-2024 tillsynsbegäran mail.docx", "A 57759-2024")</f>
        <v/>
      </c>
      <c r="Z587">
        <f>HYPERLINK("https://klasma.github.io/Logging_1489/fåglar/A 57759-2024 prioriterade fågelarter.docx", "A 57759-2024")</f>
        <v/>
      </c>
    </row>
    <row r="588" ht="15" customHeight="1">
      <c r="A588" t="inlineStr">
        <is>
          <t>A 43589-2024</t>
        </is>
      </c>
      <c r="B588" s="1" t="n">
        <v>45569.43392361111</v>
      </c>
      <c r="C588" s="1" t="n">
        <v>46011</v>
      </c>
      <c r="D588" t="inlineStr">
        <is>
          <t>VÄSTRA GÖTALANDS LÄN</t>
        </is>
      </c>
      <c r="E588" t="inlineStr">
        <is>
          <t>DALS-ED</t>
        </is>
      </c>
      <c r="G588" t="n">
        <v>5.2</v>
      </c>
      <c r="H588" t="n">
        <v>0</v>
      </c>
      <c r="I588" t="n">
        <v>0</v>
      </c>
      <c r="J588" t="n">
        <v>1</v>
      </c>
      <c r="K588" t="n">
        <v>0</v>
      </c>
      <c r="L588" t="n">
        <v>0</v>
      </c>
      <c r="M588" t="n">
        <v>0</v>
      </c>
      <c r="N588" t="n">
        <v>0</v>
      </c>
      <c r="O588" t="n">
        <v>1</v>
      </c>
      <c r="P588" t="n">
        <v>0</v>
      </c>
      <c r="Q588" t="n">
        <v>1</v>
      </c>
      <c r="R588" s="2" t="inlineStr">
        <is>
          <t>Motaggsvamp</t>
        </is>
      </c>
      <c r="S588">
        <f>HYPERLINK("https://klasma.github.io/Logging_1438/artfynd/A 43589-2024 artfynd.xlsx", "A 43589-2024")</f>
        <v/>
      </c>
      <c r="T588">
        <f>HYPERLINK("https://klasma.github.io/Logging_1438/kartor/A 43589-2024 karta.png", "A 43589-2024")</f>
        <v/>
      </c>
      <c r="V588">
        <f>HYPERLINK("https://klasma.github.io/Logging_1438/klagomål/A 43589-2024 FSC-klagomål.docx", "A 43589-2024")</f>
        <v/>
      </c>
      <c r="W588">
        <f>HYPERLINK("https://klasma.github.io/Logging_1438/klagomålsmail/A 43589-2024 FSC-klagomål mail.docx", "A 43589-2024")</f>
        <v/>
      </c>
      <c r="X588">
        <f>HYPERLINK("https://klasma.github.io/Logging_1438/tillsyn/A 43589-2024 tillsynsbegäran.docx", "A 43589-2024")</f>
        <v/>
      </c>
      <c r="Y588">
        <f>HYPERLINK("https://klasma.github.io/Logging_1438/tillsynsmail/A 43589-2024 tillsynsbegäran mail.docx", "A 43589-2024")</f>
        <v/>
      </c>
    </row>
    <row r="589" ht="15" customHeight="1">
      <c r="A589" t="inlineStr">
        <is>
          <t>A 53422-2023</t>
        </is>
      </c>
      <c r="B589" s="1" t="n">
        <v>45229</v>
      </c>
      <c r="C589" s="1" t="n">
        <v>46011</v>
      </c>
      <c r="D589" t="inlineStr">
        <is>
          <t>VÄSTRA GÖTALANDS LÄN</t>
        </is>
      </c>
      <c r="E589" t="inlineStr">
        <is>
          <t>LYSEKIL</t>
        </is>
      </c>
      <c r="G589" t="n">
        <v>3.1</v>
      </c>
      <c r="H589" t="n">
        <v>1</v>
      </c>
      <c r="I589" t="n">
        <v>0</v>
      </c>
      <c r="J589" t="n">
        <v>0</v>
      </c>
      <c r="K589" t="n">
        <v>0</v>
      </c>
      <c r="L589" t="n">
        <v>0</v>
      </c>
      <c r="M589" t="n">
        <v>0</v>
      </c>
      <c r="N589" t="n">
        <v>0</v>
      </c>
      <c r="O589" t="n">
        <v>0</v>
      </c>
      <c r="P589" t="n">
        <v>0</v>
      </c>
      <c r="Q589" t="n">
        <v>1</v>
      </c>
      <c r="R589" s="2" t="inlineStr">
        <is>
          <t>Huggorm</t>
        </is>
      </c>
      <c r="S589">
        <f>HYPERLINK("https://klasma.github.io/Logging_1484/artfynd/A 53422-2023 artfynd.xlsx", "A 53422-2023")</f>
        <v/>
      </c>
      <c r="T589">
        <f>HYPERLINK("https://klasma.github.io/Logging_1484/kartor/A 53422-2023 karta.png", "A 53422-2023")</f>
        <v/>
      </c>
      <c r="V589">
        <f>HYPERLINK("https://klasma.github.io/Logging_1484/klagomål/A 53422-2023 FSC-klagomål.docx", "A 53422-2023")</f>
        <v/>
      </c>
      <c r="W589">
        <f>HYPERLINK("https://klasma.github.io/Logging_1484/klagomålsmail/A 53422-2023 FSC-klagomål mail.docx", "A 53422-2023")</f>
        <v/>
      </c>
      <c r="X589">
        <f>HYPERLINK("https://klasma.github.io/Logging_1484/tillsyn/A 53422-2023 tillsynsbegäran.docx", "A 53422-2023")</f>
        <v/>
      </c>
      <c r="Y589">
        <f>HYPERLINK("https://klasma.github.io/Logging_1484/tillsynsmail/A 53422-2023 tillsynsbegäran mail.docx", "A 53422-2023")</f>
        <v/>
      </c>
    </row>
    <row r="590" ht="15" customHeight="1">
      <c r="A590" t="inlineStr">
        <is>
          <t>A 2438-2023</t>
        </is>
      </c>
      <c r="B590" s="1" t="n">
        <v>44943.40148148148</v>
      </c>
      <c r="C590" s="1" t="n">
        <v>46011</v>
      </c>
      <c r="D590" t="inlineStr">
        <is>
          <t>VÄSTRA GÖTALANDS LÄN</t>
        </is>
      </c>
      <c r="E590" t="inlineStr">
        <is>
          <t>LERUM</t>
        </is>
      </c>
      <c r="G590" t="n">
        <v>2.6</v>
      </c>
      <c r="H590" t="n">
        <v>0</v>
      </c>
      <c r="I590" t="n">
        <v>1</v>
      </c>
      <c r="J590" t="n">
        <v>0</v>
      </c>
      <c r="K590" t="n">
        <v>0</v>
      </c>
      <c r="L590" t="n">
        <v>0</v>
      </c>
      <c r="M590" t="n">
        <v>0</v>
      </c>
      <c r="N590" t="n">
        <v>0</v>
      </c>
      <c r="O590" t="n">
        <v>0</v>
      </c>
      <c r="P590" t="n">
        <v>0</v>
      </c>
      <c r="Q590" t="n">
        <v>1</v>
      </c>
      <c r="R590" s="2" t="inlineStr">
        <is>
          <t>Björksplintborre</t>
        </is>
      </c>
      <c r="S590">
        <f>HYPERLINK("https://klasma.github.io/Logging_1441/artfynd/A 2438-2023 artfynd.xlsx", "A 2438-2023")</f>
        <v/>
      </c>
      <c r="T590">
        <f>HYPERLINK("https://klasma.github.io/Logging_1441/kartor/A 2438-2023 karta.png", "A 2438-2023")</f>
        <v/>
      </c>
      <c r="V590">
        <f>HYPERLINK("https://klasma.github.io/Logging_1441/klagomål/A 2438-2023 FSC-klagomål.docx", "A 2438-2023")</f>
        <v/>
      </c>
      <c r="W590">
        <f>HYPERLINK("https://klasma.github.io/Logging_1441/klagomålsmail/A 2438-2023 FSC-klagomål mail.docx", "A 2438-2023")</f>
        <v/>
      </c>
      <c r="X590">
        <f>HYPERLINK("https://klasma.github.io/Logging_1441/tillsyn/A 2438-2023 tillsynsbegäran.docx", "A 2438-2023")</f>
        <v/>
      </c>
      <c r="Y590">
        <f>HYPERLINK("https://klasma.github.io/Logging_1441/tillsynsmail/A 2438-2023 tillsynsbegäran mail.docx", "A 2438-2023")</f>
        <v/>
      </c>
    </row>
    <row r="591" ht="15" customHeight="1">
      <c r="A591" t="inlineStr">
        <is>
          <t>A 125-2025</t>
        </is>
      </c>
      <c r="B591" s="1" t="n">
        <v>45649</v>
      </c>
      <c r="C591" s="1" t="n">
        <v>46011</v>
      </c>
      <c r="D591" t="inlineStr">
        <is>
          <t>VÄSTRA GÖTALANDS LÄN</t>
        </is>
      </c>
      <c r="E591" t="inlineStr">
        <is>
          <t>TANUM</t>
        </is>
      </c>
      <c r="G591" t="n">
        <v>2.3</v>
      </c>
      <c r="H591" t="n">
        <v>0</v>
      </c>
      <c r="I591" t="n">
        <v>0</v>
      </c>
      <c r="J591" t="n">
        <v>1</v>
      </c>
      <c r="K591" t="n">
        <v>0</v>
      </c>
      <c r="L591" t="n">
        <v>0</v>
      </c>
      <c r="M591" t="n">
        <v>0</v>
      </c>
      <c r="N591" t="n">
        <v>0</v>
      </c>
      <c r="O591" t="n">
        <v>1</v>
      </c>
      <c r="P591" t="n">
        <v>0</v>
      </c>
      <c r="Q591" t="n">
        <v>1</v>
      </c>
      <c r="R591" s="2" t="inlineStr">
        <is>
          <t>Stallört</t>
        </is>
      </c>
      <c r="S591">
        <f>HYPERLINK("https://klasma.github.io/Logging_1435/artfynd/A 125-2025 artfynd.xlsx", "A 125-2025")</f>
        <v/>
      </c>
      <c r="T591">
        <f>HYPERLINK("https://klasma.github.io/Logging_1435/kartor/A 125-2025 karta.png", "A 125-2025")</f>
        <v/>
      </c>
      <c r="V591">
        <f>HYPERLINK("https://klasma.github.io/Logging_1435/klagomål/A 125-2025 FSC-klagomål.docx", "A 125-2025")</f>
        <v/>
      </c>
      <c r="W591">
        <f>HYPERLINK("https://klasma.github.io/Logging_1435/klagomålsmail/A 125-2025 FSC-klagomål mail.docx", "A 125-2025")</f>
        <v/>
      </c>
      <c r="X591">
        <f>HYPERLINK("https://klasma.github.io/Logging_1435/tillsyn/A 125-2025 tillsynsbegäran.docx", "A 125-2025")</f>
        <v/>
      </c>
      <c r="Y591">
        <f>HYPERLINK("https://klasma.github.io/Logging_1435/tillsynsmail/A 125-2025 tillsynsbegäran mail.docx", "A 125-2025")</f>
        <v/>
      </c>
    </row>
    <row r="592" ht="15" customHeight="1">
      <c r="A592" t="inlineStr">
        <is>
          <t>A 37238-2025</t>
        </is>
      </c>
      <c r="B592" s="1" t="n">
        <v>45876.36284722222</v>
      </c>
      <c r="C592" s="1" t="n">
        <v>46011</v>
      </c>
      <c r="D592" t="inlineStr">
        <is>
          <t>VÄSTRA GÖTALANDS LÄN</t>
        </is>
      </c>
      <c r="E592" t="inlineStr">
        <is>
          <t>ULRICEHAMN</t>
        </is>
      </c>
      <c r="G592" t="n">
        <v>7.6</v>
      </c>
      <c r="H592" t="n">
        <v>1</v>
      </c>
      <c r="I592" t="n">
        <v>0</v>
      </c>
      <c r="J592" t="n">
        <v>0</v>
      </c>
      <c r="K592" t="n">
        <v>0</v>
      </c>
      <c r="L592" t="n">
        <v>0</v>
      </c>
      <c r="M592" t="n">
        <v>0</v>
      </c>
      <c r="N592" t="n">
        <v>0</v>
      </c>
      <c r="O592" t="n">
        <v>0</v>
      </c>
      <c r="P592" t="n">
        <v>0</v>
      </c>
      <c r="Q592" t="n">
        <v>1</v>
      </c>
      <c r="R592" s="2" t="inlineStr">
        <is>
          <t>Hasselmus</t>
        </is>
      </c>
      <c r="S592">
        <f>HYPERLINK("https://klasma.github.io/Logging_1491/artfynd/A 37238-2025 artfynd.xlsx", "A 37238-2025")</f>
        <v/>
      </c>
      <c r="T592">
        <f>HYPERLINK("https://klasma.github.io/Logging_1491/kartor/A 37238-2025 karta.png", "A 37238-2025")</f>
        <v/>
      </c>
      <c r="V592">
        <f>HYPERLINK("https://klasma.github.io/Logging_1491/klagomål/A 37238-2025 FSC-klagomål.docx", "A 37238-2025")</f>
        <v/>
      </c>
      <c r="W592">
        <f>HYPERLINK("https://klasma.github.io/Logging_1491/klagomålsmail/A 37238-2025 FSC-klagomål mail.docx", "A 37238-2025")</f>
        <v/>
      </c>
      <c r="X592">
        <f>HYPERLINK("https://klasma.github.io/Logging_1491/tillsyn/A 37238-2025 tillsynsbegäran.docx", "A 37238-2025")</f>
        <v/>
      </c>
      <c r="Y592">
        <f>HYPERLINK("https://klasma.github.io/Logging_1491/tillsynsmail/A 37238-2025 tillsynsbegäran mail.docx", "A 37238-2025")</f>
        <v/>
      </c>
    </row>
    <row r="593" ht="15" customHeight="1">
      <c r="A593" t="inlineStr">
        <is>
          <t>A 42915-2025</t>
        </is>
      </c>
      <c r="B593" s="1" t="n">
        <v>45908.76802083333</v>
      </c>
      <c r="C593" s="1" t="n">
        <v>46011</v>
      </c>
      <c r="D593" t="inlineStr">
        <is>
          <t>VÄSTRA GÖTALANDS LÄN</t>
        </is>
      </c>
      <c r="E593" t="inlineStr">
        <is>
          <t>HÄRRYDA</t>
        </is>
      </c>
      <c r="G593" t="n">
        <v>8.699999999999999</v>
      </c>
      <c r="H593" t="n">
        <v>0</v>
      </c>
      <c r="I593" t="n">
        <v>1</v>
      </c>
      <c r="J593" t="n">
        <v>0</v>
      </c>
      <c r="K593" t="n">
        <v>0</v>
      </c>
      <c r="L593" t="n">
        <v>0</v>
      </c>
      <c r="M593" t="n">
        <v>0</v>
      </c>
      <c r="N593" t="n">
        <v>0</v>
      </c>
      <c r="O593" t="n">
        <v>0</v>
      </c>
      <c r="P593" t="n">
        <v>0</v>
      </c>
      <c r="Q593" t="n">
        <v>1</v>
      </c>
      <c r="R593" s="2" t="inlineStr">
        <is>
          <t>Klippfrullania</t>
        </is>
      </c>
      <c r="S593">
        <f>HYPERLINK("https://klasma.github.io/Logging_1401/artfynd/A 42915-2025 artfynd.xlsx", "A 42915-2025")</f>
        <v/>
      </c>
      <c r="T593">
        <f>HYPERLINK("https://klasma.github.io/Logging_1401/kartor/A 42915-2025 karta.png", "A 42915-2025")</f>
        <v/>
      </c>
      <c r="V593">
        <f>HYPERLINK("https://klasma.github.io/Logging_1401/klagomål/A 42915-2025 FSC-klagomål.docx", "A 42915-2025")</f>
        <v/>
      </c>
      <c r="W593">
        <f>HYPERLINK("https://klasma.github.io/Logging_1401/klagomålsmail/A 42915-2025 FSC-klagomål mail.docx", "A 42915-2025")</f>
        <v/>
      </c>
      <c r="X593">
        <f>HYPERLINK("https://klasma.github.io/Logging_1401/tillsyn/A 42915-2025 tillsynsbegäran.docx", "A 42915-2025")</f>
        <v/>
      </c>
      <c r="Y593">
        <f>HYPERLINK("https://klasma.github.io/Logging_1401/tillsynsmail/A 42915-2025 tillsynsbegäran mail.docx", "A 42915-2025")</f>
        <v/>
      </c>
    </row>
    <row r="594" ht="15" customHeight="1">
      <c r="A594" t="inlineStr">
        <is>
          <t>A 61037-2024</t>
        </is>
      </c>
      <c r="B594" s="1" t="n">
        <v>45645</v>
      </c>
      <c r="C594" s="1" t="n">
        <v>46011</v>
      </c>
      <c r="D594" t="inlineStr">
        <is>
          <t>VÄSTRA GÖTALANDS LÄN</t>
        </is>
      </c>
      <c r="E594" t="inlineStr">
        <is>
          <t>FALKÖPING</t>
        </is>
      </c>
      <c r="G594" t="n">
        <v>1.6</v>
      </c>
      <c r="H594" t="n">
        <v>1</v>
      </c>
      <c r="I594" t="n">
        <v>0</v>
      </c>
      <c r="J594" t="n">
        <v>0</v>
      </c>
      <c r="K594" t="n">
        <v>0</v>
      </c>
      <c r="L594" t="n">
        <v>1</v>
      </c>
      <c r="M594" t="n">
        <v>0</v>
      </c>
      <c r="N594" t="n">
        <v>0</v>
      </c>
      <c r="O594" t="n">
        <v>1</v>
      </c>
      <c r="P594" t="n">
        <v>1</v>
      </c>
      <c r="Q594" t="n">
        <v>1</v>
      </c>
      <c r="R594" s="2" t="inlineStr">
        <is>
          <t>Läkeögontröst</t>
        </is>
      </c>
      <c r="S594">
        <f>HYPERLINK("https://klasma.github.io/Logging_1499/artfynd/A 61037-2024 artfynd.xlsx", "A 61037-2024")</f>
        <v/>
      </c>
      <c r="T594">
        <f>HYPERLINK("https://klasma.github.io/Logging_1499/kartor/A 61037-2024 karta.png", "A 61037-2024")</f>
        <v/>
      </c>
      <c r="V594">
        <f>HYPERLINK("https://klasma.github.io/Logging_1499/klagomål/A 61037-2024 FSC-klagomål.docx", "A 61037-2024")</f>
        <v/>
      </c>
      <c r="W594">
        <f>HYPERLINK("https://klasma.github.io/Logging_1499/klagomålsmail/A 61037-2024 FSC-klagomål mail.docx", "A 61037-2024")</f>
        <v/>
      </c>
      <c r="X594">
        <f>HYPERLINK("https://klasma.github.io/Logging_1499/tillsyn/A 61037-2024 tillsynsbegäran.docx", "A 61037-2024")</f>
        <v/>
      </c>
      <c r="Y594">
        <f>HYPERLINK("https://klasma.github.io/Logging_1499/tillsynsmail/A 61037-2024 tillsynsbegäran mail.docx", "A 61037-2024")</f>
        <v/>
      </c>
    </row>
    <row r="595" ht="15" customHeight="1">
      <c r="A595" t="inlineStr">
        <is>
          <t>A 779-2025</t>
        </is>
      </c>
      <c r="B595" s="1" t="n">
        <v>45665.4808449074</v>
      </c>
      <c r="C595" s="1" t="n">
        <v>46011</v>
      </c>
      <c r="D595" t="inlineStr">
        <is>
          <t>VÄSTRA GÖTALANDS LÄN</t>
        </is>
      </c>
      <c r="E595" t="inlineStr">
        <is>
          <t>TRANEMO</t>
        </is>
      </c>
      <c r="G595" t="n">
        <v>1.1</v>
      </c>
      <c r="H595" t="n">
        <v>0</v>
      </c>
      <c r="I595" t="n">
        <v>0</v>
      </c>
      <c r="J595" t="n">
        <v>1</v>
      </c>
      <c r="K595" t="n">
        <v>0</v>
      </c>
      <c r="L595" t="n">
        <v>0</v>
      </c>
      <c r="M595" t="n">
        <v>0</v>
      </c>
      <c r="N595" t="n">
        <v>0</v>
      </c>
      <c r="O595" t="n">
        <v>1</v>
      </c>
      <c r="P595" t="n">
        <v>0</v>
      </c>
      <c r="Q595" t="n">
        <v>1</v>
      </c>
      <c r="R595" s="2" t="inlineStr">
        <is>
          <t>Slåtterfibbla</t>
        </is>
      </c>
      <c r="S595">
        <f>HYPERLINK("https://klasma.github.io/Logging_1452/artfynd/A 779-2025 artfynd.xlsx", "A 779-2025")</f>
        <v/>
      </c>
      <c r="T595">
        <f>HYPERLINK("https://klasma.github.io/Logging_1452/kartor/A 779-2025 karta.png", "A 779-2025")</f>
        <v/>
      </c>
      <c r="V595">
        <f>HYPERLINK("https://klasma.github.io/Logging_1452/klagomål/A 779-2025 FSC-klagomål.docx", "A 779-2025")</f>
        <v/>
      </c>
      <c r="W595">
        <f>HYPERLINK("https://klasma.github.io/Logging_1452/klagomålsmail/A 779-2025 FSC-klagomål mail.docx", "A 779-2025")</f>
        <v/>
      </c>
      <c r="X595">
        <f>HYPERLINK("https://klasma.github.io/Logging_1452/tillsyn/A 779-2025 tillsynsbegäran.docx", "A 779-2025")</f>
        <v/>
      </c>
      <c r="Y595">
        <f>HYPERLINK("https://klasma.github.io/Logging_1452/tillsynsmail/A 779-2025 tillsynsbegäran mail.docx", "A 779-2025")</f>
        <v/>
      </c>
    </row>
    <row r="596" ht="15" customHeight="1">
      <c r="A596" t="inlineStr">
        <is>
          <t>A 37539-2025</t>
        </is>
      </c>
      <c r="B596" s="1" t="n">
        <v>45879.45538194444</v>
      </c>
      <c r="C596" s="1" t="n">
        <v>46011</v>
      </c>
      <c r="D596" t="inlineStr">
        <is>
          <t>VÄSTRA GÖTALANDS LÄN</t>
        </is>
      </c>
      <c r="E596" t="inlineStr">
        <is>
          <t>STENUNGSUND</t>
        </is>
      </c>
      <c r="G596" t="n">
        <v>1.9</v>
      </c>
      <c r="H596" t="n">
        <v>0</v>
      </c>
      <c r="I596" t="n">
        <v>1</v>
      </c>
      <c r="J596" t="n">
        <v>0</v>
      </c>
      <c r="K596" t="n">
        <v>0</v>
      </c>
      <c r="L596" t="n">
        <v>0</v>
      </c>
      <c r="M596" t="n">
        <v>0</v>
      </c>
      <c r="N596" t="n">
        <v>0</v>
      </c>
      <c r="O596" t="n">
        <v>0</v>
      </c>
      <c r="P596" t="n">
        <v>0</v>
      </c>
      <c r="Q596" t="n">
        <v>1</v>
      </c>
      <c r="R596" s="2" t="inlineStr">
        <is>
          <t>Murgröna</t>
        </is>
      </c>
      <c r="S596">
        <f>HYPERLINK("https://klasma.github.io/Logging_1415/artfynd/A 37539-2025 artfynd.xlsx", "A 37539-2025")</f>
        <v/>
      </c>
      <c r="T596">
        <f>HYPERLINK("https://klasma.github.io/Logging_1415/kartor/A 37539-2025 karta.png", "A 37539-2025")</f>
        <v/>
      </c>
      <c r="V596">
        <f>HYPERLINK("https://klasma.github.io/Logging_1415/klagomål/A 37539-2025 FSC-klagomål.docx", "A 37539-2025")</f>
        <v/>
      </c>
      <c r="W596">
        <f>HYPERLINK("https://klasma.github.io/Logging_1415/klagomålsmail/A 37539-2025 FSC-klagomål mail.docx", "A 37539-2025")</f>
        <v/>
      </c>
      <c r="X596">
        <f>HYPERLINK("https://klasma.github.io/Logging_1415/tillsyn/A 37539-2025 tillsynsbegäran.docx", "A 37539-2025")</f>
        <v/>
      </c>
      <c r="Y596">
        <f>HYPERLINK("https://klasma.github.io/Logging_1415/tillsynsmail/A 37539-2025 tillsynsbegäran mail.docx", "A 37539-2025")</f>
        <v/>
      </c>
    </row>
    <row r="597" ht="15" customHeight="1">
      <c r="A597" t="inlineStr">
        <is>
          <t>A 31015-2022</t>
        </is>
      </c>
      <c r="B597" s="1" t="n">
        <v>44768.6502662037</v>
      </c>
      <c r="C597" s="1" t="n">
        <v>46011</v>
      </c>
      <c r="D597" t="inlineStr">
        <is>
          <t>VÄSTRA GÖTALANDS LÄN</t>
        </is>
      </c>
      <c r="E597" t="inlineStr">
        <is>
          <t>BENGTSFORS</t>
        </is>
      </c>
      <c r="G597" t="n">
        <v>17</v>
      </c>
      <c r="H597" t="n">
        <v>1</v>
      </c>
      <c r="I597" t="n">
        <v>0</v>
      </c>
      <c r="J597" t="n">
        <v>0</v>
      </c>
      <c r="K597" t="n">
        <v>0</v>
      </c>
      <c r="L597" t="n">
        <v>0</v>
      </c>
      <c r="M597" t="n">
        <v>0</v>
      </c>
      <c r="N597" t="n">
        <v>0</v>
      </c>
      <c r="O597" t="n">
        <v>0</v>
      </c>
      <c r="P597" t="n">
        <v>0</v>
      </c>
      <c r="Q597" t="n">
        <v>1</v>
      </c>
      <c r="R597" s="2" t="inlineStr">
        <is>
          <t>Grönsiska</t>
        </is>
      </c>
      <c r="S597">
        <f>HYPERLINK("https://klasma.github.io/Logging_1460/artfynd/A 31015-2022 artfynd.xlsx", "A 31015-2022")</f>
        <v/>
      </c>
      <c r="T597">
        <f>HYPERLINK("https://klasma.github.io/Logging_1460/kartor/A 31015-2022 karta.png", "A 31015-2022")</f>
        <v/>
      </c>
      <c r="V597">
        <f>HYPERLINK("https://klasma.github.io/Logging_1460/klagomål/A 31015-2022 FSC-klagomål.docx", "A 31015-2022")</f>
        <v/>
      </c>
      <c r="W597">
        <f>HYPERLINK("https://klasma.github.io/Logging_1460/klagomålsmail/A 31015-2022 FSC-klagomål mail.docx", "A 31015-2022")</f>
        <v/>
      </c>
      <c r="X597">
        <f>HYPERLINK("https://klasma.github.io/Logging_1460/tillsyn/A 31015-2022 tillsynsbegäran.docx", "A 31015-2022")</f>
        <v/>
      </c>
      <c r="Y597">
        <f>HYPERLINK("https://klasma.github.io/Logging_1460/tillsynsmail/A 31015-2022 tillsynsbegäran mail.docx", "A 31015-2022")</f>
        <v/>
      </c>
      <c r="Z597">
        <f>HYPERLINK("https://klasma.github.io/Logging_1460/fåglar/A 31015-2022 prioriterade fågelarter.docx", "A 31015-2022")</f>
        <v/>
      </c>
    </row>
    <row r="598" ht="15" customHeight="1">
      <c r="A598" t="inlineStr">
        <is>
          <t>A 5634-2025</t>
        </is>
      </c>
      <c r="B598" s="1" t="n">
        <v>45693.6689699074</v>
      </c>
      <c r="C598" s="1" t="n">
        <v>46011</v>
      </c>
      <c r="D598" t="inlineStr">
        <is>
          <t>VÄSTRA GÖTALANDS LÄN</t>
        </is>
      </c>
      <c r="E598" t="inlineStr">
        <is>
          <t>ORUST</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HYPERLINK("https://klasma.github.io/Logging_1421/artfynd/A 5634-2025 artfynd.xlsx", "A 5634-2025")</f>
        <v/>
      </c>
      <c r="T598">
        <f>HYPERLINK("https://klasma.github.io/Logging_1421/kartor/A 5634-2025 karta.png", "A 5634-2025")</f>
        <v/>
      </c>
      <c r="U598">
        <f>HYPERLINK("https://klasma.github.io/Logging_1421/knärot/A 5634-2025 karta knärot.png", "A 5634-2025")</f>
        <v/>
      </c>
      <c r="V598">
        <f>HYPERLINK("https://klasma.github.io/Logging_1421/klagomål/A 5634-2025 FSC-klagomål.docx", "A 5634-2025")</f>
        <v/>
      </c>
      <c r="W598">
        <f>HYPERLINK("https://klasma.github.io/Logging_1421/klagomålsmail/A 5634-2025 FSC-klagomål mail.docx", "A 5634-2025")</f>
        <v/>
      </c>
      <c r="X598">
        <f>HYPERLINK("https://klasma.github.io/Logging_1421/tillsyn/A 5634-2025 tillsynsbegäran.docx", "A 5634-2025")</f>
        <v/>
      </c>
      <c r="Y598">
        <f>HYPERLINK("https://klasma.github.io/Logging_1421/tillsynsmail/A 5634-2025 tillsynsbegäran mail.docx", "A 5634-2025")</f>
        <v/>
      </c>
    </row>
    <row r="599" ht="15" customHeight="1">
      <c r="A599" t="inlineStr">
        <is>
          <t>A 54358-2024</t>
        </is>
      </c>
      <c r="B599" s="1" t="n">
        <v>45617.40755787037</v>
      </c>
      <c r="C599" s="1" t="n">
        <v>46011</v>
      </c>
      <c r="D599" t="inlineStr">
        <is>
          <t>VÄSTRA GÖTALANDS LÄN</t>
        </is>
      </c>
      <c r="E599" t="inlineStr">
        <is>
          <t>LILLA EDET</t>
        </is>
      </c>
      <c r="G599" t="n">
        <v>3</v>
      </c>
      <c r="H599" t="n">
        <v>1</v>
      </c>
      <c r="I599" t="n">
        <v>0</v>
      </c>
      <c r="J599" t="n">
        <v>0</v>
      </c>
      <c r="K599" t="n">
        <v>0</v>
      </c>
      <c r="L599" t="n">
        <v>0</v>
      </c>
      <c r="M599" t="n">
        <v>0</v>
      </c>
      <c r="N599" t="n">
        <v>0</v>
      </c>
      <c r="O599" t="n">
        <v>0</v>
      </c>
      <c r="P599" t="n">
        <v>0</v>
      </c>
      <c r="Q599" t="n">
        <v>1</v>
      </c>
      <c r="R599" s="2" t="inlineStr">
        <is>
          <t>Mattlummer</t>
        </is>
      </c>
      <c r="S599">
        <f>HYPERLINK("https://klasma.github.io/Logging_1462/artfynd/A 54358-2024 artfynd.xlsx", "A 54358-2024")</f>
        <v/>
      </c>
      <c r="T599">
        <f>HYPERLINK("https://klasma.github.io/Logging_1462/kartor/A 54358-2024 karta.png", "A 54358-2024")</f>
        <v/>
      </c>
      <c r="V599">
        <f>HYPERLINK("https://klasma.github.io/Logging_1462/klagomål/A 54358-2024 FSC-klagomål.docx", "A 54358-2024")</f>
        <v/>
      </c>
      <c r="W599">
        <f>HYPERLINK("https://klasma.github.io/Logging_1462/klagomålsmail/A 54358-2024 FSC-klagomål mail.docx", "A 54358-2024")</f>
        <v/>
      </c>
      <c r="X599">
        <f>HYPERLINK("https://klasma.github.io/Logging_1462/tillsyn/A 54358-2024 tillsynsbegäran.docx", "A 54358-2024")</f>
        <v/>
      </c>
      <c r="Y599">
        <f>HYPERLINK("https://klasma.github.io/Logging_1462/tillsynsmail/A 54358-2024 tillsynsbegäran mail.docx", "A 54358-2024")</f>
        <v/>
      </c>
    </row>
    <row r="600" ht="15" customHeight="1">
      <c r="A600" t="inlineStr">
        <is>
          <t>A 49047-2025</t>
        </is>
      </c>
      <c r="B600" s="1" t="n">
        <v>45937.63695601852</v>
      </c>
      <c r="C600" s="1" t="n">
        <v>46011</v>
      </c>
      <c r="D600" t="inlineStr">
        <is>
          <t>VÄSTRA GÖTALANDS LÄN</t>
        </is>
      </c>
      <c r="E600" t="inlineStr">
        <is>
          <t>ORUST</t>
        </is>
      </c>
      <c r="G600" t="n">
        <v>3.2</v>
      </c>
      <c r="H600" t="n">
        <v>0</v>
      </c>
      <c r="I600" t="n">
        <v>0</v>
      </c>
      <c r="J600" t="n">
        <v>1</v>
      </c>
      <c r="K600" t="n">
        <v>0</v>
      </c>
      <c r="L600" t="n">
        <v>0</v>
      </c>
      <c r="M600" t="n">
        <v>0</v>
      </c>
      <c r="N600" t="n">
        <v>0</v>
      </c>
      <c r="O600" t="n">
        <v>1</v>
      </c>
      <c r="P600" t="n">
        <v>0</v>
      </c>
      <c r="Q600" t="n">
        <v>1</v>
      </c>
      <c r="R600" s="2" t="inlineStr">
        <is>
          <t>Granspira</t>
        </is>
      </c>
      <c r="S600">
        <f>HYPERLINK("https://klasma.github.io/Logging_1421/artfynd/A 49047-2025 artfynd.xlsx", "A 49047-2025")</f>
        <v/>
      </c>
      <c r="T600">
        <f>HYPERLINK("https://klasma.github.io/Logging_1421/kartor/A 49047-2025 karta.png", "A 49047-2025")</f>
        <v/>
      </c>
      <c r="V600">
        <f>HYPERLINK("https://klasma.github.io/Logging_1421/klagomål/A 49047-2025 FSC-klagomål.docx", "A 49047-2025")</f>
        <v/>
      </c>
      <c r="W600">
        <f>HYPERLINK("https://klasma.github.io/Logging_1421/klagomålsmail/A 49047-2025 FSC-klagomål mail.docx", "A 49047-2025")</f>
        <v/>
      </c>
      <c r="X600">
        <f>HYPERLINK("https://klasma.github.io/Logging_1421/tillsyn/A 49047-2025 tillsynsbegäran.docx", "A 49047-2025")</f>
        <v/>
      </c>
      <c r="Y600">
        <f>HYPERLINK("https://klasma.github.io/Logging_1421/tillsynsmail/A 49047-2025 tillsynsbegäran mail.docx", "A 49047-2025")</f>
        <v/>
      </c>
    </row>
    <row r="601" ht="15" customHeight="1">
      <c r="A601" t="inlineStr">
        <is>
          <t>A 60172-2021</t>
        </is>
      </c>
      <c r="B601" s="1" t="n">
        <v>44495</v>
      </c>
      <c r="C601" s="1" t="n">
        <v>46011</v>
      </c>
      <c r="D601" t="inlineStr">
        <is>
          <t>VÄSTRA GÖTALANDS LÄN</t>
        </is>
      </c>
      <c r="E601" t="inlineStr">
        <is>
          <t>SKÖVDE</t>
        </is>
      </c>
      <c r="G601" t="n">
        <v>1.4</v>
      </c>
      <c r="H601" t="n">
        <v>1</v>
      </c>
      <c r="I601" t="n">
        <v>0</v>
      </c>
      <c r="J601" t="n">
        <v>0</v>
      </c>
      <c r="K601" t="n">
        <v>0</v>
      </c>
      <c r="L601" t="n">
        <v>0</v>
      </c>
      <c r="M601" t="n">
        <v>0</v>
      </c>
      <c r="N601" t="n">
        <v>0</v>
      </c>
      <c r="O601" t="n">
        <v>0</v>
      </c>
      <c r="P601" t="n">
        <v>0</v>
      </c>
      <c r="Q601" t="n">
        <v>1</v>
      </c>
      <c r="R601" s="2" t="inlineStr">
        <is>
          <t>Fläcknycklar</t>
        </is>
      </c>
      <c r="S601">
        <f>HYPERLINK("https://klasma.github.io/Logging_1496/artfynd/A 60172-2021 artfynd.xlsx", "A 60172-2021")</f>
        <v/>
      </c>
      <c r="T601">
        <f>HYPERLINK("https://klasma.github.io/Logging_1496/kartor/A 60172-2021 karta.png", "A 60172-2021")</f>
        <v/>
      </c>
      <c r="V601">
        <f>HYPERLINK("https://klasma.github.io/Logging_1496/klagomål/A 60172-2021 FSC-klagomål.docx", "A 60172-2021")</f>
        <v/>
      </c>
      <c r="W601">
        <f>HYPERLINK("https://klasma.github.io/Logging_1496/klagomålsmail/A 60172-2021 FSC-klagomål mail.docx", "A 60172-2021")</f>
        <v/>
      </c>
      <c r="X601">
        <f>HYPERLINK("https://klasma.github.io/Logging_1496/tillsyn/A 60172-2021 tillsynsbegäran.docx", "A 60172-2021")</f>
        <v/>
      </c>
      <c r="Y601">
        <f>HYPERLINK("https://klasma.github.io/Logging_1496/tillsynsmail/A 60172-2021 tillsynsbegäran mail.docx", "A 60172-2021")</f>
        <v/>
      </c>
    </row>
    <row r="602" ht="15" customHeight="1">
      <c r="A602" t="inlineStr">
        <is>
          <t>A 17023-2023</t>
        </is>
      </c>
      <c r="B602" s="1" t="n">
        <v>45030</v>
      </c>
      <c r="C602" s="1" t="n">
        <v>46011</v>
      </c>
      <c r="D602" t="inlineStr">
        <is>
          <t>VÄSTRA GÖTALANDS LÄN</t>
        </is>
      </c>
      <c r="E602" t="inlineStr">
        <is>
          <t>MARK</t>
        </is>
      </c>
      <c r="G602" t="n">
        <v>2.9</v>
      </c>
      <c r="H602" t="n">
        <v>0</v>
      </c>
      <c r="I602" t="n">
        <v>0</v>
      </c>
      <c r="J602" t="n">
        <v>1</v>
      </c>
      <c r="K602" t="n">
        <v>0</v>
      </c>
      <c r="L602" t="n">
        <v>0</v>
      </c>
      <c r="M602" t="n">
        <v>0</v>
      </c>
      <c r="N602" t="n">
        <v>0</v>
      </c>
      <c r="O602" t="n">
        <v>1</v>
      </c>
      <c r="P602" t="n">
        <v>0</v>
      </c>
      <c r="Q602" t="n">
        <v>1</v>
      </c>
      <c r="R602" s="2" t="inlineStr">
        <is>
          <t>Guldsandbi</t>
        </is>
      </c>
      <c r="S602">
        <f>HYPERLINK("https://klasma.github.io/Logging_1463/artfynd/A 17023-2023 artfynd.xlsx", "A 17023-2023")</f>
        <v/>
      </c>
      <c r="T602">
        <f>HYPERLINK("https://klasma.github.io/Logging_1463/kartor/A 17023-2023 karta.png", "A 17023-2023")</f>
        <v/>
      </c>
      <c r="V602">
        <f>HYPERLINK("https://klasma.github.io/Logging_1463/klagomål/A 17023-2023 FSC-klagomål.docx", "A 17023-2023")</f>
        <v/>
      </c>
      <c r="W602">
        <f>HYPERLINK("https://klasma.github.io/Logging_1463/klagomålsmail/A 17023-2023 FSC-klagomål mail.docx", "A 17023-2023")</f>
        <v/>
      </c>
      <c r="X602">
        <f>HYPERLINK("https://klasma.github.io/Logging_1463/tillsyn/A 17023-2023 tillsynsbegäran.docx", "A 17023-2023")</f>
        <v/>
      </c>
      <c r="Y602">
        <f>HYPERLINK("https://klasma.github.io/Logging_1463/tillsynsmail/A 17023-2023 tillsynsbegäran mail.docx", "A 17023-2023")</f>
        <v/>
      </c>
    </row>
    <row r="603" ht="15" customHeight="1">
      <c r="A603" t="inlineStr">
        <is>
          <t>A 35559-2025</t>
        </is>
      </c>
      <c r="B603" s="1" t="n">
        <v>45856</v>
      </c>
      <c r="C603" s="1" t="n">
        <v>46011</v>
      </c>
      <c r="D603" t="inlineStr">
        <is>
          <t>VÄSTRA GÖTALANDS LÄN</t>
        </is>
      </c>
      <c r="E603" t="inlineStr">
        <is>
          <t>FALKÖPING</t>
        </is>
      </c>
      <c r="G603" t="n">
        <v>10.4</v>
      </c>
      <c r="H603" t="n">
        <v>1</v>
      </c>
      <c r="I603" t="n">
        <v>0</v>
      </c>
      <c r="J603" t="n">
        <v>1</v>
      </c>
      <c r="K603" t="n">
        <v>0</v>
      </c>
      <c r="L603" t="n">
        <v>0</v>
      </c>
      <c r="M603" t="n">
        <v>0</v>
      </c>
      <c r="N603" t="n">
        <v>0</v>
      </c>
      <c r="O603" t="n">
        <v>1</v>
      </c>
      <c r="P603" t="n">
        <v>0</v>
      </c>
      <c r="Q603" t="n">
        <v>1</v>
      </c>
      <c r="R603" s="2" t="inlineStr">
        <is>
          <t>Talltita</t>
        </is>
      </c>
      <c r="S603">
        <f>HYPERLINK("https://klasma.github.io/Logging_1499/artfynd/A 35559-2025 artfynd.xlsx", "A 35559-2025")</f>
        <v/>
      </c>
      <c r="T603">
        <f>HYPERLINK("https://klasma.github.io/Logging_1499/kartor/A 35559-2025 karta.png", "A 35559-2025")</f>
        <v/>
      </c>
      <c r="V603">
        <f>HYPERLINK("https://klasma.github.io/Logging_1499/klagomål/A 35559-2025 FSC-klagomål.docx", "A 35559-2025")</f>
        <v/>
      </c>
      <c r="W603">
        <f>HYPERLINK("https://klasma.github.io/Logging_1499/klagomålsmail/A 35559-2025 FSC-klagomål mail.docx", "A 35559-2025")</f>
        <v/>
      </c>
      <c r="X603">
        <f>HYPERLINK("https://klasma.github.io/Logging_1499/tillsyn/A 35559-2025 tillsynsbegäran.docx", "A 35559-2025")</f>
        <v/>
      </c>
      <c r="Y603">
        <f>HYPERLINK("https://klasma.github.io/Logging_1499/tillsynsmail/A 35559-2025 tillsynsbegäran mail.docx", "A 35559-2025")</f>
        <v/>
      </c>
      <c r="Z603">
        <f>HYPERLINK("https://klasma.github.io/Logging_1499/fåglar/A 35559-2025 prioriterade fågelarter.docx", "A 35559-2025")</f>
        <v/>
      </c>
    </row>
    <row r="604" ht="15" customHeight="1">
      <c r="A604" t="inlineStr">
        <is>
          <t>A 48972-2025</t>
        </is>
      </c>
      <c r="B604" s="1" t="n">
        <v>45937</v>
      </c>
      <c r="C604" s="1" t="n">
        <v>46011</v>
      </c>
      <c r="D604" t="inlineStr">
        <is>
          <t>VÄSTRA GÖTALANDS LÄN</t>
        </is>
      </c>
      <c r="E604" t="inlineStr">
        <is>
          <t>BENGTSFORS</t>
        </is>
      </c>
      <c r="G604" t="n">
        <v>0.5</v>
      </c>
      <c r="H604" t="n">
        <v>0</v>
      </c>
      <c r="I604" t="n">
        <v>0</v>
      </c>
      <c r="J604" t="n">
        <v>0</v>
      </c>
      <c r="K604" t="n">
        <v>0</v>
      </c>
      <c r="L604" t="n">
        <v>1</v>
      </c>
      <c r="M604" t="n">
        <v>0</v>
      </c>
      <c r="N604" t="n">
        <v>0</v>
      </c>
      <c r="O604" t="n">
        <v>1</v>
      </c>
      <c r="P604" t="n">
        <v>1</v>
      </c>
      <c r="Q604" t="n">
        <v>1</v>
      </c>
      <c r="R604" s="2" t="inlineStr">
        <is>
          <t>Ask</t>
        </is>
      </c>
      <c r="S604">
        <f>HYPERLINK("https://klasma.github.io/Logging_1460/artfynd/A 48972-2025 artfynd.xlsx", "A 48972-2025")</f>
        <v/>
      </c>
      <c r="T604">
        <f>HYPERLINK("https://klasma.github.io/Logging_1460/kartor/A 48972-2025 karta.png", "A 48972-2025")</f>
        <v/>
      </c>
      <c r="V604">
        <f>HYPERLINK("https://klasma.github.io/Logging_1460/klagomål/A 48972-2025 FSC-klagomål.docx", "A 48972-2025")</f>
        <v/>
      </c>
      <c r="W604">
        <f>HYPERLINK("https://klasma.github.io/Logging_1460/klagomålsmail/A 48972-2025 FSC-klagomål mail.docx", "A 48972-2025")</f>
        <v/>
      </c>
      <c r="X604">
        <f>HYPERLINK("https://klasma.github.io/Logging_1460/tillsyn/A 48972-2025 tillsynsbegäran.docx", "A 48972-2025")</f>
        <v/>
      </c>
      <c r="Y604">
        <f>HYPERLINK("https://klasma.github.io/Logging_1460/tillsynsmail/A 48972-2025 tillsynsbegäran mail.docx", "A 48972-2025")</f>
        <v/>
      </c>
    </row>
    <row r="605" ht="15" customHeight="1">
      <c r="A605" t="inlineStr">
        <is>
          <t>A 61244-2024</t>
        </is>
      </c>
      <c r="B605" s="1" t="n">
        <v>45645.68797453704</v>
      </c>
      <c r="C605" s="1" t="n">
        <v>46011</v>
      </c>
      <c r="D605" t="inlineStr">
        <is>
          <t>VÄSTRA GÖTALANDS LÄN</t>
        </is>
      </c>
      <c r="E605" t="inlineStr">
        <is>
          <t>BOLLEBYGD</t>
        </is>
      </c>
      <c r="G605" t="n">
        <v>4</v>
      </c>
      <c r="H605" t="n">
        <v>0</v>
      </c>
      <c r="I605" t="n">
        <v>0</v>
      </c>
      <c r="J605" t="n">
        <v>1</v>
      </c>
      <c r="K605" t="n">
        <v>0</v>
      </c>
      <c r="L605" t="n">
        <v>0</v>
      </c>
      <c r="M605" t="n">
        <v>0</v>
      </c>
      <c r="N605" t="n">
        <v>0</v>
      </c>
      <c r="O605" t="n">
        <v>1</v>
      </c>
      <c r="P605" t="n">
        <v>0</v>
      </c>
      <c r="Q605" t="n">
        <v>1</v>
      </c>
      <c r="R605" s="2" t="inlineStr">
        <is>
          <t>Grönhjon</t>
        </is>
      </c>
      <c r="S605">
        <f>HYPERLINK("https://klasma.github.io/Logging_1443/artfynd/A 61244-2024 artfynd.xlsx", "A 61244-2024")</f>
        <v/>
      </c>
      <c r="T605">
        <f>HYPERLINK("https://klasma.github.io/Logging_1443/kartor/A 61244-2024 karta.png", "A 61244-2024")</f>
        <v/>
      </c>
      <c r="V605">
        <f>HYPERLINK("https://klasma.github.io/Logging_1443/klagomål/A 61244-2024 FSC-klagomål.docx", "A 61244-2024")</f>
        <v/>
      </c>
      <c r="W605">
        <f>HYPERLINK("https://klasma.github.io/Logging_1443/klagomålsmail/A 61244-2024 FSC-klagomål mail.docx", "A 61244-2024")</f>
        <v/>
      </c>
      <c r="X605">
        <f>HYPERLINK("https://klasma.github.io/Logging_1443/tillsyn/A 61244-2024 tillsynsbegäran.docx", "A 61244-2024")</f>
        <v/>
      </c>
      <c r="Y605">
        <f>HYPERLINK("https://klasma.github.io/Logging_1443/tillsynsmail/A 61244-2024 tillsynsbegäran mail.docx", "A 61244-2024")</f>
        <v/>
      </c>
    </row>
    <row r="606" ht="15" customHeight="1">
      <c r="A606" t="inlineStr">
        <is>
          <t>A 38103-2025</t>
        </is>
      </c>
      <c r="B606" s="1" t="n">
        <v>45882.49244212963</v>
      </c>
      <c r="C606" s="1" t="n">
        <v>46011</v>
      </c>
      <c r="D606" t="inlineStr">
        <is>
          <t>VÄSTRA GÖTALANDS LÄN</t>
        </is>
      </c>
      <c r="E606" t="inlineStr">
        <is>
          <t>KUNGÄLV</t>
        </is>
      </c>
      <c r="G606" t="n">
        <v>1.8</v>
      </c>
      <c r="H606" t="n">
        <v>1</v>
      </c>
      <c r="I606" t="n">
        <v>0</v>
      </c>
      <c r="J606" t="n">
        <v>1</v>
      </c>
      <c r="K606" t="n">
        <v>0</v>
      </c>
      <c r="L606" t="n">
        <v>0</v>
      </c>
      <c r="M606" t="n">
        <v>0</v>
      </c>
      <c r="N606" t="n">
        <v>0</v>
      </c>
      <c r="O606" t="n">
        <v>1</v>
      </c>
      <c r="P606" t="n">
        <v>0</v>
      </c>
      <c r="Q606" t="n">
        <v>1</v>
      </c>
      <c r="R606" s="2" t="inlineStr">
        <is>
          <t>Spillkråka</t>
        </is>
      </c>
      <c r="S606">
        <f>HYPERLINK("https://klasma.github.io/Logging_1482/artfynd/A 38103-2025 artfynd.xlsx", "A 38103-2025")</f>
        <v/>
      </c>
      <c r="T606">
        <f>HYPERLINK("https://klasma.github.io/Logging_1482/kartor/A 38103-2025 karta.png", "A 38103-2025")</f>
        <v/>
      </c>
      <c r="V606">
        <f>HYPERLINK("https://klasma.github.io/Logging_1482/klagomål/A 38103-2025 FSC-klagomål.docx", "A 38103-2025")</f>
        <v/>
      </c>
      <c r="W606">
        <f>HYPERLINK("https://klasma.github.io/Logging_1482/klagomålsmail/A 38103-2025 FSC-klagomål mail.docx", "A 38103-2025")</f>
        <v/>
      </c>
      <c r="X606">
        <f>HYPERLINK("https://klasma.github.io/Logging_1482/tillsyn/A 38103-2025 tillsynsbegäran.docx", "A 38103-2025")</f>
        <v/>
      </c>
      <c r="Y606">
        <f>HYPERLINK("https://klasma.github.io/Logging_1482/tillsynsmail/A 38103-2025 tillsynsbegäran mail.docx", "A 38103-2025")</f>
        <v/>
      </c>
      <c r="Z606">
        <f>HYPERLINK("https://klasma.github.io/Logging_1482/fåglar/A 38103-2025 prioriterade fågelarter.docx", "A 38103-2025")</f>
        <v/>
      </c>
    </row>
    <row r="607" ht="15" customHeight="1">
      <c r="A607" t="inlineStr">
        <is>
          <t>A 49645-2025</t>
        </is>
      </c>
      <c r="B607" s="1" t="n">
        <v>45939.61609953704</v>
      </c>
      <c r="C607" s="1" t="n">
        <v>46011</v>
      </c>
      <c r="D607" t="inlineStr">
        <is>
          <t>VÄSTRA GÖTALANDS LÄN</t>
        </is>
      </c>
      <c r="E607" t="inlineStr">
        <is>
          <t>HÄRRYDA</t>
        </is>
      </c>
      <c r="G607" t="n">
        <v>2.3</v>
      </c>
      <c r="H607" t="n">
        <v>1</v>
      </c>
      <c r="I607" t="n">
        <v>0</v>
      </c>
      <c r="J607" t="n">
        <v>0</v>
      </c>
      <c r="K607" t="n">
        <v>0</v>
      </c>
      <c r="L607" t="n">
        <v>0</v>
      </c>
      <c r="M607" t="n">
        <v>0</v>
      </c>
      <c r="N607" t="n">
        <v>0</v>
      </c>
      <c r="O607" t="n">
        <v>0</v>
      </c>
      <c r="P607" t="n">
        <v>0</v>
      </c>
      <c r="Q607" t="n">
        <v>1</v>
      </c>
      <c r="R607" s="2" t="inlineStr">
        <is>
          <t>Revlummer</t>
        </is>
      </c>
      <c r="S607">
        <f>HYPERLINK("https://klasma.github.io/Logging_1401/artfynd/A 49645-2025 artfynd.xlsx", "A 49645-2025")</f>
        <v/>
      </c>
      <c r="T607">
        <f>HYPERLINK("https://klasma.github.io/Logging_1401/kartor/A 49645-2025 karta.png", "A 49645-2025")</f>
        <v/>
      </c>
      <c r="V607">
        <f>HYPERLINK("https://klasma.github.io/Logging_1401/klagomål/A 49645-2025 FSC-klagomål.docx", "A 49645-2025")</f>
        <v/>
      </c>
      <c r="W607">
        <f>HYPERLINK("https://klasma.github.io/Logging_1401/klagomålsmail/A 49645-2025 FSC-klagomål mail.docx", "A 49645-2025")</f>
        <v/>
      </c>
      <c r="X607">
        <f>HYPERLINK("https://klasma.github.io/Logging_1401/tillsyn/A 49645-2025 tillsynsbegäran.docx", "A 49645-2025")</f>
        <v/>
      </c>
      <c r="Y607">
        <f>HYPERLINK("https://klasma.github.io/Logging_1401/tillsynsmail/A 49645-2025 tillsynsbegäran mail.docx", "A 49645-2025")</f>
        <v/>
      </c>
    </row>
    <row r="608" ht="15" customHeight="1">
      <c r="A608" t="inlineStr">
        <is>
          <t>A 172-2024</t>
        </is>
      </c>
      <c r="B608" s="1" t="n">
        <v>45294</v>
      </c>
      <c r="C608" s="1" t="n">
        <v>46011</v>
      </c>
      <c r="D608" t="inlineStr">
        <is>
          <t>VÄSTRA GÖTALANDS LÄN</t>
        </is>
      </c>
      <c r="E608" t="inlineStr">
        <is>
          <t>DALS-ED</t>
        </is>
      </c>
      <c r="G608" t="n">
        <v>6.9</v>
      </c>
      <c r="H608" t="n">
        <v>0</v>
      </c>
      <c r="I608" t="n">
        <v>1</v>
      </c>
      <c r="J608" t="n">
        <v>0</v>
      </c>
      <c r="K608" t="n">
        <v>0</v>
      </c>
      <c r="L608" t="n">
        <v>0</v>
      </c>
      <c r="M608" t="n">
        <v>0</v>
      </c>
      <c r="N608" t="n">
        <v>0</v>
      </c>
      <c r="O608" t="n">
        <v>0</v>
      </c>
      <c r="P608" t="n">
        <v>0</v>
      </c>
      <c r="Q608" t="n">
        <v>1</v>
      </c>
      <c r="R608" s="2" t="inlineStr">
        <is>
          <t>Bronshjon</t>
        </is>
      </c>
      <c r="S608">
        <f>HYPERLINK("https://klasma.github.io/Logging_1438/artfynd/A 172-2024 artfynd.xlsx", "A 172-2024")</f>
        <v/>
      </c>
      <c r="T608">
        <f>HYPERLINK("https://klasma.github.io/Logging_1438/kartor/A 172-2024 karta.png", "A 172-2024")</f>
        <v/>
      </c>
      <c r="V608">
        <f>HYPERLINK("https://klasma.github.io/Logging_1438/klagomål/A 172-2024 FSC-klagomål.docx", "A 172-2024")</f>
        <v/>
      </c>
      <c r="W608">
        <f>HYPERLINK("https://klasma.github.io/Logging_1438/klagomålsmail/A 172-2024 FSC-klagomål mail.docx", "A 172-2024")</f>
        <v/>
      </c>
      <c r="X608">
        <f>HYPERLINK("https://klasma.github.io/Logging_1438/tillsyn/A 172-2024 tillsynsbegäran.docx", "A 172-2024")</f>
        <v/>
      </c>
      <c r="Y608">
        <f>HYPERLINK("https://klasma.github.io/Logging_1438/tillsynsmail/A 172-2024 tillsynsbegäran mail.docx", "A 172-2024")</f>
        <v/>
      </c>
    </row>
    <row r="609" ht="15" customHeight="1">
      <c r="A609" t="inlineStr">
        <is>
          <t>A 9985-2023</t>
        </is>
      </c>
      <c r="B609" s="1" t="n">
        <v>44985</v>
      </c>
      <c r="C609" s="1" t="n">
        <v>46011</v>
      </c>
      <c r="D609" t="inlineStr">
        <is>
          <t>VÄSTRA GÖTALANDS LÄN</t>
        </is>
      </c>
      <c r="E609" t="inlineStr">
        <is>
          <t>TÖREBODA</t>
        </is>
      </c>
      <c r="G609" t="n">
        <v>5.5</v>
      </c>
      <c r="H609" t="n">
        <v>1</v>
      </c>
      <c r="I609" t="n">
        <v>0</v>
      </c>
      <c r="J609" t="n">
        <v>0</v>
      </c>
      <c r="K609" t="n">
        <v>0</v>
      </c>
      <c r="L609" t="n">
        <v>0</v>
      </c>
      <c r="M609" t="n">
        <v>0</v>
      </c>
      <c r="N609" t="n">
        <v>0</v>
      </c>
      <c r="O609" t="n">
        <v>0</v>
      </c>
      <c r="P609" t="n">
        <v>0</v>
      </c>
      <c r="Q609" t="n">
        <v>1</v>
      </c>
      <c r="R609" s="2" t="inlineStr">
        <is>
          <t>Revlummer</t>
        </is>
      </c>
      <c r="S609">
        <f>HYPERLINK("https://klasma.github.io/Logging_1473/artfynd/A 9985-2023 artfynd.xlsx", "A 9985-2023")</f>
        <v/>
      </c>
      <c r="T609">
        <f>HYPERLINK("https://klasma.github.io/Logging_1473/kartor/A 9985-2023 karta.png", "A 9985-2023")</f>
        <v/>
      </c>
      <c r="V609">
        <f>HYPERLINK("https://klasma.github.io/Logging_1473/klagomål/A 9985-2023 FSC-klagomål.docx", "A 9985-2023")</f>
        <v/>
      </c>
      <c r="W609">
        <f>HYPERLINK("https://klasma.github.io/Logging_1473/klagomålsmail/A 9985-2023 FSC-klagomål mail.docx", "A 9985-2023")</f>
        <v/>
      </c>
      <c r="X609">
        <f>HYPERLINK("https://klasma.github.io/Logging_1473/tillsyn/A 9985-2023 tillsynsbegäran.docx", "A 9985-2023")</f>
        <v/>
      </c>
      <c r="Y609">
        <f>HYPERLINK("https://klasma.github.io/Logging_1473/tillsynsmail/A 9985-2023 tillsynsbegäran mail.docx", "A 9985-2023")</f>
        <v/>
      </c>
    </row>
    <row r="610" ht="15" customHeight="1">
      <c r="A610" t="inlineStr">
        <is>
          <t>A 50068-2025</t>
        </is>
      </c>
      <c r="B610" s="1" t="n">
        <v>45943</v>
      </c>
      <c r="C610" s="1" t="n">
        <v>46011</v>
      </c>
      <c r="D610" t="inlineStr">
        <is>
          <t>VÄSTRA GÖTALANDS LÄN</t>
        </is>
      </c>
      <c r="E610" t="inlineStr">
        <is>
          <t>BORÅS</t>
        </is>
      </c>
      <c r="F610" t="inlineStr">
        <is>
          <t>Kommuner</t>
        </is>
      </c>
      <c r="G610" t="n">
        <v>1.2</v>
      </c>
      <c r="H610" t="n">
        <v>0</v>
      </c>
      <c r="I610" t="n">
        <v>1</v>
      </c>
      <c r="J610" t="n">
        <v>0</v>
      </c>
      <c r="K610" t="n">
        <v>0</v>
      </c>
      <c r="L610" t="n">
        <v>0</v>
      </c>
      <c r="M610" t="n">
        <v>0</v>
      </c>
      <c r="N610" t="n">
        <v>0</v>
      </c>
      <c r="O610" t="n">
        <v>0</v>
      </c>
      <c r="P610" t="n">
        <v>0</v>
      </c>
      <c r="Q610" t="n">
        <v>1</v>
      </c>
      <c r="R610" s="2" t="inlineStr">
        <is>
          <t>Brandticka</t>
        </is>
      </c>
      <c r="S610">
        <f>HYPERLINK("https://klasma.github.io/Logging_1490/artfynd/A 50068-2025 artfynd.xlsx", "A 50068-2025")</f>
        <v/>
      </c>
      <c r="T610">
        <f>HYPERLINK("https://klasma.github.io/Logging_1490/kartor/A 50068-2025 karta.png", "A 50068-2025")</f>
        <v/>
      </c>
      <c r="V610">
        <f>HYPERLINK("https://klasma.github.io/Logging_1490/klagomål/A 50068-2025 FSC-klagomål.docx", "A 50068-2025")</f>
        <v/>
      </c>
      <c r="W610">
        <f>HYPERLINK("https://klasma.github.io/Logging_1490/klagomålsmail/A 50068-2025 FSC-klagomål mail.docx", "A 50068-2025")</f>
        <v/>
      </c>
      <c r="X610">
        <f>HYPERLINK("https://klasma.github.io/Logging_1490/tillsyn/A 50068-2025 tillsynsbegäran.docx", "A 50068-2025")</f>
        <v/>
      </c>
      <c r="Y610">
        <f>HYPERLINK("https://klasma.github.io/Logging_1490/tillsynsmail/A 50068-2025 tillsynsbegäran mail.docx", "A 50068-2025")</f>
        <v/>
      </c>
    </row>
    <row r="611" ht="15" customHeight="1">
      <c r="A611" t="inlineStr">
        <is>
          <t>A 39670-2025</t>
        </is>
      </c>
      <c r="B611" s="1" t="n">
        <v>45890.64280092593</v>
      </c>
      <c r="C611" s="1" t="n">
        <v>46011</v>
      </c>
      <c r="D611" t="inlineStr">
        <is>
          <t>VÄSTRA GÖTALANDS LÄN</t>
        </is>
      </c>
      <c r="E611" t="inlineStr">
        <is>
          <t>HÄRRYDA</t>
        </is>
      </c>
      <c r="G611" t="n">
        <v>1.9</v>
      </c>
      <c r="H611" t="n">
        <v>0</v>
      </c>
      <c r="I611" t="n">
        <v>0</v>
      </c>
      <c r="J611" t="n">
        <v>0</v>
      </c>
      <c r="K611" t="n">
        <v>0</v>
      </c>
      <c r="L611" t="n">
        <v>1</v>
      </c>
      <c r="M611" t="n">
        <v>0</v>
      </c>
      <c r="N611" t="n">
        <v>0</v>
      </c>
      <c r="O611" t="n">
        <v>1</v>
      </c>
      <c r="P611" t="n">
        <v>1</v>
      </c>
      <c r="Q611" t="n">
        <v>1</v>
      </c>
      <c r="R611" s="2" t="inlineStr">
        <is>
          <t>Flodpärlmussla</t>
        </is>
      </c>
      <c r="S611">
        <f>HYPERLINK("https://klasma.github.io/Logging_1401/artfynd/A 39670-2025 artfynd.xlsx", "A 39670-2025")</f>
        <v/>
      </c>
      <c r="T611">
        <f>HYPERLINK("https://klasma.github.io/Logging_1401/kartor/A 39670-2025 karta.png", "A 39670-2025")</f>
        <v/>
      </c>
      <c r="V611">
        <f>HYPERLINK("https://klasma.github.io/Logging_1401/klagomål/A 39670-2025 FSC-klagomål.docx", "A 39670-2025")</f>
        <v/>
      </c>
      <c r="W611">
        <f>HYPERLINK("https://klasma.github.io/Logging_1401/klagomålsmail/A 39670-2025 FSC-klagomål mail.docx", "A 39670-2025")</f>
        <v/>
      </c>
      <c r="X611">
        <f>HYPERLINK("https://klasma.github.io/Logging_1401/tillsyn/A 39670-2025 tillsynsbegäran.docx", "A 39670-2025")</f>
        <v/>
      </c>
      <c r="Y611">
        <f>HYPERLINK("https://klasma.github.io/Logging_1401/tillsynsmail/A 39670-2025 tillsynsbegäran mail.docx", "A 39670-2025")</f>
        <v/>
      </c>
    </row>
    <row r="612" ht="15" customHeight="1">
      <c r="A612" t="inlineStr">
        <is>
          <t>A 62072-2024</t>
        </is>
      </c>
      <c r="B612" s="1" t="n">
        <v>45656</v>
      </c>
      <c r="C612" s="1" t="n">
        <v>46011</v>
      </c>
      <c r="D612" t="inlineStr">
        <is>
          <t>VÄSTRA GÖTALANDS LÄN</t>
        </is>
      </c>
      <c r="E612" t="inlineStr">
        <is>
          <t>UDDEVALLA</t>
        </is>
      </c>
      <c r="F612" t="inlineStr">
        <is>
          <t>Kommuner</t>
        </is>
      </c>
      <c r="G612" t="n">
        <v>1.8</v>
      </c>
      <c r="H612" t="n">
        <v>1</v>
      </c>
      <c r="I612" t="n">
        <v>0</v>
      </c>
      <c r="J612" t="n">
        <v>1</v>
      </c>
      <c r="K612" t="n">
        <v>0</v>
      </c>
      <c r="L612" t="n">
        <v>0</v>
      </c>
      <c r="M612" t="n">
        <v>0</v>
      </c>
      <c r="N612" t="n">
        <v>0</v>
      </c>
      <c r="O612" t="n">
        <v>1</v>
      </c>
      <c r="P612" t="n">
        <v>0</v>
      </c>
      <c r="Q612" t="n">
        <v>1</v>
      </c>
      <c r="R612" s="2" t="inlineStr">
        <is>
          <t>Mindre hackspett</t>
        </is>
      </c>
      <c r="S612">
        <f>HYPERLINK("https://klasma.github.io/Logging_1485/artfynd/A 62072-2024 artfynd.xlsx", "A 62072-2024")</f>
        <v/>
      </c>
      <c r="T612">
        <f>HYPERLINK("https://klasma.github.io/Logging_1485/kartor/A 62072-2024 karta.png", "A 62072-2024")</f>
        <v/>
      </c>
      <c r="V612">
        <f>HYPERLINK("https://klasma.github.io/Logging_1485/klagomål/A 62072-2024 FSC-klagomål.docx", "A 62072-2024")</f>
        <v/>
      </c>
      <c r="W612">
        <f>HYPERLINK("https://klasma.github.io/Logging_1485/klagomålsmail/A 62072-2024 FSC-klagomål mail.docx", "A 62072-2024")</f>
        <v/>
      </c>
      <c r="X612">
        <f>HYPERLINK("https://klasma.github.io/Logging_1485/tillsyn/A 62072-2024 tillsynsbegäran.docx", "A 62072-2024")</f>
        <v/>
      </c>
      <c r="Y612">
        <f>HYPERLINK("https://klasma.github.io/Logging_1485/tillsynsmail/A 62072-2024 tillsynsbegäran mail.docx", "A 62072-2024")</f>
        <v/>
      </c>
      <c r="Z612">
        <f>HYPERLINK("https://klasma.github.io/Logging_1485/fåglar/A 62072-2024 prioriterade fågelarter.docx", "A 62072-2024")</f>
        <v/>
      </c>
    </row>
    <row r="613" ht="15" customHeight="1">
      <c r="A613" t="inlineStr">
        <is>
          <t>A 61199-2023</t>
        </is>
      </c>
      <c r="B613" s="1" t="n">
        <v>45264</v>
      </c>
      <c r="C613" s="1" t="n">
        <v>46011</v>
      </c>
      <c r="D613" t="inlineStr">
        <is>
          <t>VÄSTRA GÖTALANDS LÄN</t>
        </is>
      </c>
      <c r="E613" t="inlineStr">
        <is>
          <t>ULRICEHAMN</t>
        </is>
      </c>
      <c r="G613" t="n">
        <v>2.6</v>
      </c>
      <c r="H613" t="n">
        <v>0</v>
      </c>
      <c r="I613" t="n">
        <v>0</v>
      </c>
      <c r="J613" t="n">
        <v>0</v>
      </c>
      <c r="K613" t="n">
        <v>0</v>
      </c>
      <c r="L613" t="n">
        <v>1</v>
      </c>
      <c r="M613" t="n">
        <v>0</v>
      </c>
      <c r="N613" t="n">
        <v>0</v>
      </c>
      <c r="O613" t="n">
        <v>1</v>
      </c>
      <c r="P613" t="n">
        <v>1</v>
      </c>
      <c r="Q613" t="n">
        <v>1</v>
      </c>
      <c r="R613" s="2" t="inlineStr">
        <is>
          <t>Ask</t>
        </is>
      </c>
      <c r="S613">
        <f>HYPERLINK("https://klasma.github.io/Logging_1491/artfynd/A 61199-2023 artfynd.xlsx", "A 61199-2023")</f>
        <v/>
      </c>
      <c r="T613">
        <f>HYPERLINK("https://klasma.github.io/Logging_1491/kartor/A 61199-2023 karta.png", "A 61199-2023")</f>
        <v/>
      </c>
      <c r="V613">
        <f>HYPERLINK("https://klasma.github.io/Logging_1491/klagomål/A 61199-2023 FSC-klagomål.docx", "A 61199-2023")</f>
        <v/>
      </c>
      <c r="W613">
        <f>HYPERLINK("https://klasma.github.io/Logging_1491/klagomålsmail/A 61199-2023 FSC-klagomål mail.docx", "A 61199-2023")</f>
        <v/>
      </c>
      <c r="X613">
        <f>HYPERLINK("https://klasma.github.io/Logging_1491/tillsyn/A 61199-2023 tillsynsbegäran.docx", "A 61199-2023")</f>
        <v/>
      </c>
      <c r="Y613">
        <f>HYPERLINK("https://klasma.github.io/Logging_1491/tillsynsmail/A 61199-2023 tillsynsbegäran mail.docx", "A 61199-2023")</f>
        <v/>
      </c>
    </row>
    <row r="614" ht="15" customHeight="1">
      <c r="A614" t="inlineStr">
        <is>
          <t>A 50366-2025</t>
        </is>
      </c>
      <c r="B614" s="1" t="n">
        <v>45944.56960648148</v>
      </c>
      <c r="C614" s="1" t="n">
        <v>46011</v>
      </c>
      <c r="D614" t="inlineStr">
        <is>
          <t>VÄSTRA GÖTALANDS LÄN</t>
        </is>
      </c>
      <c r="E614" t="inlineStr">
        <is>
          <t>GÖTENE</t>
        </is>
      </c>
      <c r="G614" t="n">
        <v>2</v>
      </c>
      <c r="H614" t="n">
        <v>0</v>
      </c>
      <c r="I614" t="n">
        <v>0</v>
      </c>
      <c r="J614" t="n">
        <v>1</v>
      </c>
      <c r="K614" t="n">
        <v>0</v>
      </c>
      <c r="L614" t="n">
        <v>0</v>
      </c>
      <c r="M614" t="n">
        <v>0</v>
      </c>
      <c r="N614" t="n">
        <v>0</v>
      </c>
      <c r="O614" t="n">
        <v>1</v>
      </c>
      <c r="P614" t="n">
        <v>0</v>
      </c>
      <c r="Q614" t="n">
        <v>1</v>
      </c>
      <c r="R614" s="2" t="inlineStr">
        <is>
          <t>Korallticka</t>
        </is>
      </c>
      <c r="S614">
        <f>HYPERLINK("https://klasma.github.io/Logging_1471/artfynd/A 50366-2025 artfynd.xlsx", "A 50366-2025")</f>
        <v/>
      </c>
      <c r="T614">
        <f>HYPERLINK("https://klasma.github.io/Logging_1471/kartor/A 50366-2025 karta.png", "A 50366-2025")</f>
        <v/>
      </c>
      <c r="V614">
        <f>HYPERLINK("https://klasma.github.io/Logging_1471/klagomål/A 50366-2025 FSC-klagomål.docx", "A 50366-2025")</f>
        <v/>
      </c>
      <c r="W614">
        <f>HYPERLINK("https://klasma.github.io/Logging_1471/klagomålsmail/A 50366-2025 FSC-klagomål mail.docx", "A 50366-2025")</f>
        <v/>
      </c>
      <c r="X614">
        <f>HYPERLINK("https://klasma.github.io/Logging_1471/tillsyn/A 50366-2025 tillsynsbegäran.docx", "A 50366-2025")</f>
        <v/>
      </c>
      <c r="Y614">
        <f>HYPERLINK("https://klasma.github.io/Logging_1471/tillsynsmail/A 50366-2025 tillsynsbegäran mail.docx", "A 50366-2025")</f>
        <v/>
      </c>
    </row>
    <row r="615" ht="15" customHeight="1">
      <c r="A615" t="inlineStr">
        <is>
          <t>A 23973-2023</t>
        </is>
      </c>
      <c r="B615" s="1" t="n">
        <v>45075</v>
      </c>
      <c r="C615" s="1" t="n">
        <v>46011</v>
      </c>
      <c r="D615" t="inlineStr">
        <is>
          <t>VÄSTRA GÖTALANDS LÄN</t>
        </is>
      </c>
      <c r="E615" t="inlineStr">
        <is>
          <t>KARLSBORG</t>
        </is>
      </c>
      <c r="G615" t="n">
        <v>2.2</v>
      </c>
      <c r="H615" t="n">
        <v>1</v>
      </c>
      <c r="I615" t="n">
        <v>0</v>
      </c>
      <c r="J615" t="n">
        <v>0</v>
      </c>
      <c r="K615" t="n">
        <v>0</v>
      </c>
      <c r="L615" t="n">
        <v>0</v>
      </c>
      <c r="M615" t="n">
        <v>0</v>
      </c>
      <c r="N615" t="n">
        <v>0</v>
      </c>
      <c r="O615" t="n">
        <v>0</v>
      </c>
      <c r="P615" t="n">
        <v>0</v>
      </c>
      <c r="Q615" t="n">
        <v>1</v>
      </c>
      <c r="R615" s="2" t="inlineStr">
        <is>
          <t>Orre</t>
        </is>
      </c>
      <c r="S615">
        <f>HYPERLINK("https://klasma.github.io/Logging_1446/artfynd/A 23973-2023 artfynd.xlsx", "A 23973-2023")</f>
        <v/>
      </c>
      <c r="T615">
        <f>HYPERLINK("https://klasma.github.io/Logging_1446/kartor/A 23973-2023 karta.png", "A 23973-2023")</f>
        <v/>
      </c>
      <c r="V615">
        <f>HYPERLINK("https://klasma.github.io/Logging_1446/klagomål/A 23973-2023 FSC-klagomål.docx", "A 23973-2023")</f>
        <v/>
      </c>
      <c r="W615">
        <f>HYPERLINK("https://klasma.github.io/Logging_1446/klagomålsmail/A 23973-2023 FSC-klagomål mail.docx", "A 23973-2023")</f>
        <v/>
      </c>
      <c r="X615">
        <f>HYPERLINK("https://klasma.github.io/Logging_1446/tillsyn/A 23973-2023 tillsynsbegäran.docx", "A 23973-2023")</f>
        <v/>
      </c>
      <c r="Y615">
        <f>HYPERLINK("https://klasma.github.io/Logging_1446/tillsynsmail/A 23973-2023 tillsynsbegäran mail.docx", "A 23973-2023")</f>
        <v/>
      </c>
      <c r="Z615">
        <f>HYPERLINK("https://klasma.github.io/Logging_1446/fåglar/A 23973-2023 prioriterade fågelarter.docx", "A 23973-2023")</f>
        <v/>
      </c>
    </row>
    <row r="616" ht="15" customHeight="1">
      <c r="A616" t="inlineStr">
        <is>
          <t>A 44736-2021</t>
        </is>
      </c>
      <c r="B616" s="1" t="n">
        <v>44438</v>
      </c>
      <c r="C616" s="1" t="n">
        <v>46011</v>
      </c>
      <c r="D616" t="inlineStr">
        <is>
          <t>VÄSTRA GÖTALANDS LÄN</t>
        </is>
      </c>
      <c r="E616" t="inlineStr">
        <is>
          <t>VÄNERSBORG</t>
        </is>
      </c>
      <c r="G616" t="n">
        <v>6.1</v>
      </c>
      <c r="H616" t="n">
        <v>0</v>
      </c>
      <c r="I616" t="n">
        <v>1</v>
      </c>
      <c r="J616" t="n">
        <v>0</v>
      </c>
      <c r="K616" t="n">
        <v>0</v>
      </c>
      <c r="L616" t="n">
        <v>0</v>
      </c>
      <c r="M616" t="n">
        <v>0</v>
      </c>
      <c r="N616" t="n">
        <v>0</v>
      </c>
      <c r="O616" t="n">
        <v>0</v>
      </c>
      <c r="P616" t="n">
        <v>0</v>
      </c>
      <c r="Q616" t="n">
        <v>1</v>
      </c>
      <c r="R616" s="2" t="inlineStr">
        <is>
          <t>Barkticka</t>
        </is>
      </c>
      <c r="S616">
        <f>HYPERLINK("https://klasma.github.io/Logging_1487/artfynd/A 44736-2021 artfynd.xlsx", "A 44736-2021")</f>
        <v/>
      </c>
      <c r="T616">
        <f>HYPERLINK("https://klasma.github.io/Logging_1487/kartor/A 44736-2021 karta.png", "A 44736-2021")</f>
        <v/>
      </c>
      <c r="V616">
        <f>HYPERLINK("https://klasma.github.io/Logging_1487/klagomål/A 44736-2021 FSC-klagomål.docx", "A 44736-2021")</f>
        <v/>
      </c>
      <c r="W616">
        <f>HYPERLINK("https://klasma.github.io/Logging_1487/klagomålsmail/A 44736-2021 FSC-klagomål mail.docx", "A 44736-2021")</f>
        <v/>
      </c>
      <c r="X616">
        <f>HYPERLINK("https://klasma.github.io/Logging_1487/tillsyn/A 44736-2021 tillsynsbegäran.docx", "A 44736-2021")</f>
        <v/>
      </c>
      <c r="Y616">
        <f>HYPERLINK("https://klasma.github.io/Logging_1487/tillsynsmail/A 44736-2021 tillsynsbegäran mail.docx", "A 44736-2021")</f>
        <v/>
      </c>
    </row>
    <row r="617" ht="15" customHeight="1">
      <c r="A617" t="inlineStr">
        <is>
          <t>A 27878-2024</t>
        </is>
      </c>
      <c r="B617" s="1" t="n">
        <v>45475.74412037037</v>
      </c>
      <c r="C617" s="1" t="n">
        <v>46011</v>
      </c>
      <c r="D617" t="inlineStr">
        <is>
          <t>VÄSTRA GÖTALANDS LÄN</t>
        </is>
      </c>
      <c r="E617" t="inlineStr">
        <is>
          <t>DALS-ED</t>
        </is>
      </c>
      <c r="G617" t="n">
        <v>4.2</v>
      </c>
      <c r="H617" t="n">
        <v>0</v>
      </c>
      <c r="I617" t="n">
        <v>1</v>
      </c>
      <c r="J617" t="n">
        <v>0</v>
      </c>
      <c r="K617" t="n">
        <v>0</v>
      </c>
      <c r="L617" t="n">
        <v>0</v>
      </c>
      <c r="M617" t="n">
        <v>0</v>
      </c>
      <c r="N617" t="n">
        <v>0</v>
      </c>
      <c r="O617" t="n">
        <v>0</v>
      </c>
      <c r="P617" t="n">
        <v>0</v>
      </c>
      <c r="Q617" t="n">
        <v>1</v>
      </c>
      <c r="R617" s="2" t="inlineStr">
        <is>
          <t>Dropptaggsvamp</t>
        </is>
      </c>
      <c r="S617">
        <f>HYPERLINK("https://klasma.github.io/Logging_1438/artfynd/A 27878-2024 artfynd.xlsx", "A 27878-2024")</f>
        <v/>
      </c>
      <c r="T617">
        <f>HYPERLINK("https://klasma.github.io/Logging_1438/kartor/A 27878-2024 karta.png", "A 27878-2024")</f>
        <v/>
      </c>
      <c r="V617">
        <f>HYPERLINK("https://klasma.github.io/Logging_1438/klagomål/A 27878-2024 FSC-klagomål.docx", "A 27878-2024")</f>
        <v/>
      </c>
      <c r="W617">
        <f>HYPERLINK("https://klasma.github.io/Logging_1438/klagomålsmail/A 27878-2024 FSC-klagomål mail.docx", "A 27878-2024")</f>
        <v/>
      </c>
      <c r="X617">
        <f>HYPERLINK("https://klasma.github.io/Logging_1438/tillsyn/A 27878-2024 tillsynsbegäran.docx", "A 27878-2024")</f>
        <v/>
      </c>
      <c r="Y617">
        <f>HYPERLINK("https://klasma.github.io/Logging_1438/tillsynsmail/A 27878-2024 tillsynsbegäran mail.docx", "A 27878-2024")</f>
        <v/>
      </c>
    </row>
    <row r="618" ht="15" customHeight="1">
      <c r="A618" t="inlineStr">
        <is>
          <t>A 25432-2021</t>
        </is>
      </c>
      <c r="B618" s="1" t="n">
        <v>44342</v>
      </c>
      <c r="C618" s="1" t="n">
        <v>46011</v>
      </c>
      <c r="D618" t="inlineStr">
        <is>
          <t>VÄSTRA GÖTALANDS LÄN</t>
        </is>
      </c>
      <c r="E618" t="inlineStr">
        <is>
          <t>GULLSPÅNG</t>
        </is>
      </c>
      <c r="G618" t="n">
        <v>7.8</v>
      </c>
      <c r="H618" t="n">
        <v>0</v>
      </c>
      <c r="I618" t="n">
        <v>0</v>
      </c>
      <c r="J618" t="n">
        <v>1</v>
      </c>
      <c r="K618" t="n">
        <v>0</v>
      </c>
      <c r="L618" t="n">
        <v>0</v>
      </c>
      <c r="M618" t="n">
        <v>0</v>
      </c>
      <c r="N618" t="n">
        <v>0</v>
      </c>
      <c r="O618" t="n">
        <v>1</v>
      </c>
      <c r="P618" t="n">
        <v>0</v>
      </c>
      <c r="Q618" t="n">
        <v>1</v>
      </c>
      <c r="R618" s="2" t="inlineStr">
        <is>
          <t>Åkerrödtoppa</t>
        </is>
      </c>
      <c r="S618">
        <f>HYPERLINK("https://klasma.github.io/Logging_1447/artfynd/A 25432-2021 artfynd.xlsx", "A 25432-2021")</f>
        <v/>
      </c>
      <c r="T618">
        <f>HYPERLINK("https://klasma.github.io/Logging_1447/kartor/A 25432-2021 karta.png", "A 25432-2021")</f>
        <v/>
      </c>
      <c r="V618">
        <f>HYPERLINK("https://klasma.github.io/Logging_1447/klagomål/A 25432-2021 FSC-klagomål.docx", "A 25432-2021")</f>
        <v/>
      </c>
      <c r="W618">
        <f>HYPERLINK("https://klasma.github.io/Logging_1447/klagomålsmail/A 25432-2021 FSC-klagomål mail.docx", "A 25432-2021")</f>
        <v/>
      </c>
      <c r="X618">
        <f>HYPERLINK("https://klasma.github.io/Logging_1447/tillsyn/A 25432-2021 tillsynsbegäran.docx", "A 25432-2021")</f>
        <v/>
      </c>
      <c r="Y618">
        <f>HYPERLINK("https://klasma.github.io/Logging_1447/tillsynsmail/A 25432-2021 tillsynsbegäran mail.docx", "A 25432-2021")</f>
        <v/>
      </c>
    </row>
    <row r="619" ht="15" customHeight="1">
      <c r="A619" t="inlineStr">
        <is>
          <t>A 29313-2024</t>
        </is>
      </c>
      <c r="B619" s="1" t="n">
        <v>45483.40099537037</v>
      </c>
      <c r="C619" s="1" t="n">
        <v>46011</v>
      </c>
      <c r="D619" t="inlineStr">
        <is>
          <t>VÄSTRA GÖTALANDS LÄN</t>
        </is>
      </c>
      <c r="E619" t="inlineStr">
        <is>
          <t>ALINGSÅS</t>
        </is>
      </c>
      <c r="G619" t="n">
        <v>1</v>
      </c>
      <c r="H619" t="n">
        <v>1</v>
      </c>
      <c r="I619" t="n">
        <v>0</v>
      </c>
      <c r="J619" t="n">
        <v>0</v>
      </c>
      <c r="K619" t="n">
        <v>0</v>
      </c>
      <c r="L619" t="n">
        <v>0</v>
      </c>
      <c r="M619" t="n">
        <v>0</v>
      </c>
      <c r="N619" t="n">
        <v>0</v>
      </c>
      <c r="O619" t="n">
        <v>0</v>
      </c>
      <c r="P619" t="n">
        <v>0</v>
      </c>
      <c r="Q619" t="n">
        <v>1</v>
      </c>
      <c r="R619" s="2" t="inlineStr">
        <is>
          <t>Revlummer</t>
        </is>
      </c>
      <c r="S619">
        <f>HYPERLINK("https://klasma.github.io/Logging_1489/artfynd/A 29313-2024 artfynd.xlsx", "A 29313-2024")</f>
        <v/>
      </c>
      <c r="T619">
        <f>HYPERLINK("https://klasma.github.io/Logging_1489/kartor/A 29313-2024 karta.png", "A 29313-2024")</f>
        <v/>
      </c>
      <c r="V619">
        <f>HYPERLINK("https://klasma.github.io/Logging_1489/klagomål/A 29313-2024 FSC-klagomål.docx", "A 29313-2024")</f>
        <v/>
      </c>
      <c r="W619">
        <f>HYPERLINK("https://klasma.github.io/Logging_1489/klagomålsmail/A 29313-2024 FSC-klagomål mail.docx", "A 29313-2024")</f>
        <v/>
      </c>
      <c r="X619">
        <f>HYPERLINK("https://klasma.github.io/Logging_1489/tillsyn/A 29313-2024 tillsynsbegäran.docx", "A 29313-2024")</f>
        <v/>
      </c>
      <c r="Y619">
        <f>HYPERLINK("https://klasma.github.io/Logging_1489/tillsynsmail/A 29313-2024 tillsynsbegäran mail.docx", "A 29313-2024")</f>
        <v/>
      </c>
    </row>
    <row r="620" ht="15" customHeight="1">
      <c r="A620" t="inlineStr">
        <is>
          <t>A 51398-2025</t>
        </is>
      </c>
      <c r="B620" s="1" t="n">
        <v>45947</v>
      </c>
      <c r="C620" s="1" t="n">
        <v>46011</v>
      </c>
      <c r="D620" t="inlineStr">
        <is>
          <t>VÄSTRA GÖTALANDS LÄN</t>
        </is>
      </c>
      <c r="E620" t="inlineStr">
        <is>
          <t>MUNKEDAL</t>
        </is>
      </c>
      <c r="G620" t="n">
        <v>2.1</v>
      </c>
      <c r="H620" t="n">
        <v>1</v>
      </c>
      <c r="I620" t="n">
        <v>0</v>
      </c>
      <c r="J620" t="n">
        <v>0</v>
      </c>
      <c r="K620" t="n">
        <v>0</v>
      </c>
      <c r="L620" t="n">
        <v>0</v>
      </c>
      <c r="M620" t="n">
        <v>0</v>
      </c>
      <c r="N620" t="n">
        <v>0</v>
      </c>
      <c r="O620" t="n">
        <v>0</v>
      </c>
      <c r="P620" t="n">
        <v>0</v>
      </c>
      <c r="Q620" t="n">
        <v>1</v>
      </c>
      <c r="R620" s="2" t="inlineStr">
        <is>
          <t>Revlummer</t>
        </is>
      </c>
      <c r="S620">
        <f>HYPERLINK("https://klasma.github.io/Logging_1430/artfynd/A 51398-2025 artfynd.xlsx", "A 51398-2025")</f>
        <v/>
      </c>
      <c r="T620">
        <f>HYPERLINK("https://klasma.github.io/Logging_1430/kartor/A 51398-2025 karta.png", "A 51398-2025")</f>
        <v/>
      </c>
      <c r="V620">
        <f>HYPERLINK("https://klasma.github.io/Logging_1430/klagomål/A 51398-2025 FSC-klagomål.docx", "A 51398-2025")</f>
        <v/>
      </c>
      <c r="W620">
        <f>HYPERLINK("https://klasma.github.io/Logging_1430/klagomålsmail/A 51398-2025 FSC-klagomål mail.docx", "A 51398-2025")</f>
        <v/>
      </c>
      <c r="X620">
        <f>HYPERLINK("https://klasma.github.io/Logging_1430/tillsyn/A 51398-2025 tillsynsbegäran.docx", "A 51398-2025")</f>
        <v/>
      </c>
      <c r="Y620">
        <f>HYPERLINK("https://klasma.github.io/Logging_1430/tillsynsmail/A 51398-2025 tillsynsbegäran mail.docx", "A 51398-2025")</f>
        <v/>
      </c>
    </row>
    <row r="621" ht="15" customHeight="1">
      <c r="A621" t="inlineStr">
        <is>
          <t>A 51277-2025</t>
        </is>
      </c>
      <c r="B621" s="1" t="n">
        <v>45950.23784722222</v>
      </c>
      <c r="C621" s="1" t="n">
        <v>46011</v>
      </c>
      <c r="D621" t="inlineStr">
        <is>
          <t>VÄSTRA GÖTALANDS LÄN</t>
        </is>
      </c>
      <c r="E621" t="inlineStr">
        <is>
          <t>VARA</t>
        </is>
      </c>
      <c r="G621" t="n">
        <v>4.1</v>
      </c>
      <c r="H621" t="n">
        <v>1</v>
      </c>
      <c r="I621" t="n">
        <v>0</v>
      </c>
      <c r="J621" t="n">
        <v>1</v>
      </c>
      <c r="K621" t="n">
        <v>0</v>
      </c>
      <c r="L621" t="n">
        <v>0</v>
      </c>
      <c r="M621" t="n">
        <v>0</v>
      </c>
      <c r="N621" t="n">
        <v>0</v>
      </c>
      <c r="O621" t="n">
        <v>1</v>
      </c>
      <c r="P621" t="n">
        <v>0</v>
      </c>
      <c r="Q621" t="n">
        <v>1</v>
      </c>
      <c r="R621" s="2" t="inlineStr">
        <is>
          <t>Gulsparv</t>
        </is>
      </c>
      <c r="S621">
        <f>HYPERLINK("https://klasma.github.io/Logging_1470/artfynd/A 51277-2025 artfynd.xlsx", "A 51277-2025")</f>
        <v/>
      </c>
      <c r="T621">
        <f>HYPERLINK("https://klasma.github.io/Logging_1470/kartor/A 51277-2025 karta.png", "A 51277-2025")</f>
        <v/>
      </c>
      <c r="V621">
        <f>HYPERLINK("https://klasma.github.io/Logging_1470/klagomål/A 51277-2025 FSC-klagomål.docx", "A 51277-2025")</f>
        <v/>
      </c>
      <c r="W621">
        <f>HYPERLINK("https://klasma.github.io/Logging_1470/klagomålsmail/A 51277-2025 FSC-klagomål mail.docx", "A 51277-2025")</f>
        <v/>
      </c>
      <c r="X621">
        <f>HYPERLINK("https://klasma.github.io/Logging_1470/tillsyn/A 51277-2025 tillsynsbegäran.docx", "A 51277-2025")</f>
        <v/>
      </c>
      <c r="Y621">
        <f>HYPERLINK("https://klasma.github.io/Logging_1470/tillsynsmail/A 51277-2025 tillsynsbegäran mail.docx", "A 51277-2025")</f>
        <v/>
      </c>
      <c r="Z621">
        <f>HYPERLINK("https://klasma.github.io/Logging_1470/fåglar/A 51277-2025 prioriterade fågelarter.docx", "A 51277-2025")</f>
        <v/>
      </c>
    </row>
    <row r="622" ht="15" customHeight="1">
      <c r="A622" t="inlineStr">
        <is>
          <t>A 14793-2023</t>
        </is>
      </c>
      <c r="B622" s="1" t="n">
        <v>45014.60708333334</v>
      </c>
      <c r="C622" s="1" t="n">
        <v>46011</v>
      </c>
      <c r="D622" t="inlineStr">
        <is>
          <t>VÄSTRA GÖTALANDS LÄN</t>
        </is>
      </c>
      <c r="E622" t="inlineStr">
        <is>
          <t>DALS-ED</t>
        </is>
      </c>
      <c r="G622" t="n">
        <v>1.6</v>
      </c>
      <c r="H622" t="n">
        <v>0</v>
      </c>
      <c r="I622" t="n">
        <v>0</v>
      </c>
      <c r="J622" t="n">
        <v>0</v>
      </c>
      <c r="K622" t="n">
        <v>1</v>
      </c>
      <c r="L622" t="n">
        <v>0</v>
      </c>
      <c r="M622" t="n">
        <v>0</v>
      </c>
      <c r="N622" t="n">
        <v>0</v>
      </c>
      <c r="O622" t="n">
        <v>1</v>
      </c>
      <c r="P622" t="n">
        <v>1</v>
      </c>
      <c r="Q622" t="n">
        <v>1</v>
      </c>
      <c r="R622" s="2" t="inlineStr">
        <is>
          <t>Slåttergubbe</t>
        </is>
      </c>
      <c r="S622">
        <f>HYPERLINK("https://klasma.github.io/Logging_1438/artfynd/A 14793-2023 artfynd.xlsx", "A 14793-2023")</f>
        <v/>
      </c>
      <c r="T622">
        <f>HYPERLINK("https://klasma.github.io/Logging_1438/kartor/A 14793-2023 karta.png", "A 14793-2023")</f>
        <v/>
      </c>
      <c r="V622">
        <f>HYPERLINK("https://klasma.github.io/Logging_1438/klagomål/A 14793-2023 FSC-klagomål.docx", "A 14793-2023")</f>
        <v/>
      </c>
      <c r="W622">
        <f>HYPERLINK("https://klasma.github.io/Logging_1438/klagomålsmail/A 14793-2023 FSC-klagomål mail.docx", "A 14793-2023")</f>
        <v/>
      </c>
      <c r="X622">
        <f>HYPERLINK("https://klasma.github.io/Logging_1438/tillsyn/A 14793-2023 tillsynsbegäran.docx", "A 14793-2023")</f>
        <v/>
      </c>
      <c r="Y622">
        <f>HYPERLINK("https://klasma.github.io/Logging_1438/tillsynsmail/A 14793-2023 tillsynsbegäran mail.docx", "A 14793-2023")</f>
        <v/>
      </c>
    </row>
    <row r="623" ht="15" customHeight="1">
      <c r="A623" t="inlineStr">
        <is>
          <t>A 51220-2025</t>
        </is>
      </c>
      <c r="B623" s="1" t="n">
        <v>45947.64873842592</v>
      </c>
      <c r="C623" s="1" t="n">
        <v>46011</v>
      </c>
      <c r="D623" t="inlineStr">
        <is>
          <t>VÄSTRA GÖTALANDS LÄN</t>
        </is>
      </c>
      <c r="E623" t="inlineStr">
        <is>
          <t>MARIESTAD</t>
        </is>
      </c>
      <c r="G623" t="n">
        <v>7.3</v>
      </c>
      <c r="H623" t="n">
        <v>0</v>
      </c>
      <c r="I623" t="n">
        <v>1</v>
      </c>
      <c r="J623" t="n">
        <v>0</v>
      </c>
      <c r="K623" t="n">
        <v>0</v>
      </c>
      <c r="L623" t="n">
        <v>0</v>
      </c>
      <c r="M623" t="n">
        <v>0</v>
      </c>
      <c r="N623" t="n">
        <v>0</v>
      </c>
      <c r="O623" t="n">
        <v>0</v>
      </c>
      <c r="P623" t="n">
        <v>0</v>
      </c>
      <c r="Q623" t="n">
        <v>1</v>
      </c>
      <c r="R623" s="2" t="inlineStr">
        <is>
          <t>Blomkålssvamp</t>
        </is>
      </c>
      <c r="S623">
        <f>HYPERLINK("https://klasma.github.io/Logging_1493/artfynd/A 51220-2025 artfynd.xlsx", "A 51220-2025")</f>
        <v/>
      </c>
      <c r="T623">
        <f>HYPERLINK("https://klasma.github.io/Logging_1493/kartor/A 51220-2025 karta.png", "A 51220-2025")</f>
        <v/>
      </c>
      <c r="V623">
        <f>HYPERLINK("https://klasma.github.io/Logging_1493/klagomål/A 51220-2025 FSC-klagomål.docx", "A 51220-2025")</f>
        <v/>
      </c>
      <c r="W623">
        <f>HYPERLINK("https://klasma.github.io/Logging_1493/klagomålsmail/A 51220-2025 FSC-klagomål mail.docx", "A 51220-2025")</f>
        <v/>
      </c>
      <c r="X623">
        <f>HYPERLINK("https://klasma.github.io/Logging_1493/tillsyn/A 51220-2025 tillsynsbegäran.docx", "A 51220-2025")</f>
        <v/>
      </c>
      <c r="Y623">
        <f>HYPERLINK("https://klasma.github.io/Logging_1493/tillsynsmail/A 51220-2025 tillsynsbegäran mail.docx", "A 51220-2025")</f>
        <v/>
      </c>
    </row>
    <row r="624" ht="15" customHeight="1">
      <c r="A624" t="inlineStr">
        <is>
          <t>A 4208-2025</t>
        </is>
      </c>
      <c r="B624" s="1" t="n">
        <v>45685</v>
      </c>
      <c r="C624" s="1" t="n">
        <v>46011</v>
      </c>
      <c r="D624" t="inlineStr">
        <is>
          <t>VÄSTRA GÖTALANDS LÄN</t>
        </is>
      </c>
      <c r="E624" t="inlineStr">
        <is>
          <t>TANUM</t>
        </is>
      </c>
      <c r="G624" t="n">
        <v>19.3</v>
      </c>
      <c r="H624" t="n">
        <v>1</v>
      </c>
      <c r="I624" t="n">
        <v>0</v>
      </c>
      <c r="J624" t="n">
        <v>0</v>
      </c>
      <c r="K624" t="n">
        <v>0</v>
      </c>
      <c r="L624" t="n">
        <v>0</v>
      </c>
      <c r="M624" t="n">
        <v>0</v>
      </c>
      <c r="N624" t="n">
        <v>0</v>
      </c>
      <c r="O624" t="n">
        <v>0</v>
      </c>
      <c r="P624" t="n">
        <v>0</v>
      </c>
      <c r="Q624" t="n">
        <v>1</v>
      </c>
      <c r="R624" s="2" t="inlineStr">
        <is>
          <t>Revlummer</t>
        </is>
      </c>
      <c r="S624">
        <f>HYPERLINK("https://klasma.github.io/Logging_1435/artfynd/A 4208-2025 artfynd.xlsx", "A 4208-2025")</f>
        <v/>
      </c>
      <c r="T624">
        <f>HYPERLINK("https://klasma.github.io/Logging_1435/kartor/A 4208-2025 karta.png", "A 4208-2025")</f>
        <v/>
      </c>
      <c r="V624">
        <f>HYPERLINK("https://klasma.github.io/Logging_1435/klagomål/A 4208-2025 FSC-klagomål.docx", "A 4208-2025")</f>
        <v/>
      </c>
      <c r="W624">
        <f>HYPERLINK("https://klasma.github.io/Logging_1435/klagomålsmail/A 4208-2025 FSC-klagomål mail.docx", "A 4208-2025")</f>
        <v/>
      </c>
      <c r="X624">
        <f>HYPERLINK("https://klasma.github.io/Logging_1435/tillsyn/A 4208-2025 tillsynsbegäran.docx", "A 4208-2025")</f>
        <v/>
      </c>
      <c r="Y624">
        <f>HYPERLINK("https://klasma.github.io/Logging_1435/tillsynsmail/A 4208-2025 tillsynsbegäran mail.docx", "A 4208-2025")</f>
        <v/>
      </c>
    </row>
    <row r="625" ht="15" customHeight="1">
      <c r="A625" t="inlineStr">
        <is>
          <t>A 51807-2025</t>
        </is>
      </c>
      <c r="B625" s="1" t="n">
        <v>45951.78824074074</v>
      </c>
      <c r="C625" s="1" t="n">
        <v>46011</v>
      </c>
      <c r="D625" t="inlineStr">
        <is>
          <t>VÄSTRA GÖTALANDS LÄN</t>
        </is>
      </c>
      <c r="E625" t="inlineStr">
        <is>
          <t>STENUNGSUND</t>
        </is>
      </c>
      <c r="G625" t="n">
        <v>1.2</v>
      </c>
      <c r="H625" t="n">
        <v>0</v>
      </c>
      <c r="I625" t="n">
        <v>1</v>
      </c>
      <c r="J625" t="n">
        <v>0</v>
      </c>
      <c r="K625" t="n">
        <v>0</v>
      </c>
      <c r="L625" t="n">
        <v>0</v>
      </c>
      <c r="M625" t="n">
        <v>0</v>
      </c>
      <c r="N625" t="n">
        <v>0</v>
      </c>
      <c r="O625" t="n">
        <v>0</v>
      </c>
      <c r="P625" t="n">
        <v>0</v>
      </c>
      <c r="Q625" t="n">
        <v>1</v>
      </c>
      <c r="R625" s="2" t="inlineStr">
        <is>
          <t>Blomkålssvamp</t>
        </is>
      </c>
      <c r="S625">
        <f>HYPERLINK("https://klasma.github.io/Logging_1415/artfynd/A 51807-2025 artfynd.xlsx", "A 51807-2025")</f>
        <v/>
      </c>
      <c r="T625">
        <f>HYPERLINK("https://klasma.github.io/Logging_1415/kartor/A 51807-2025 karta.png", "A 51807-2025")</f>
        <v/>
      </c>
      <c r="V625">
        <f>HYPERLINK("https://klasma.github.io/Logging_1415/klagomål/A 51807-2025 FSC-klagomål.docx", "A 51807-2025")</f>
        <v/>
      </c>
      <c r="W625">
        <f>HYPERLINK("https://klasma.github.io/Logging_1415/klagomålsmail/A 51807-2025 FSC-klagomål mail.docx", "A 51807-2025")</f>
        <v/>
      </c>
      <c r="X625">
        <f>HYPERLINK("https://klasma.github.io/Logging_1415/tillsyn/A 51807-2025 tillsynsbegäran.docx", "A 51807-2025")</f>
        <v/>
      </c>
      <c r="Y625">
        <f>HYPERLINK("https://klasma.github.io/Logging_1415/tillsynsmail/A 51807-2025 tillsynsbegäran mail.docx", "A 51807-2025")</f>
        <v/>
      </c>
    </row>
    <row r="626" ht="15" customHeight="1">
      <c r="A626" t="inlineStr">
        <is>
          <t>A 37035-2024</t>
        </is>
      </c>
      <c r="B626" s="1" t="n">
        <v>45539</v>
      </c>
      <c r="C626" s="1" t="n">
        <v>46011</v>
      </c>
      <c r="D626" t="inlineStr">
        <is>
          <t>VÄSTRA GÖTALANDS LÄN</t>
        </is>
      </c>
      <c r="E626" t="inlineStr">
        <is>
          <t>MUNKEDAL</t>
        </is>
      </c>
      <c r="F626" t="inlineStr">
        <is>
          <t>Övriga Aktiebolag</t>
        </is>
      </c>
      <c r="G626" t="n">
        <v>43.6</v>
      </c>
      <c r="H626" t="n">
        <v>0</v>
      </c>
      <c r="I626" t="n">
        <v>0</v>
      </c>
      <c r="J626" t="n">
        <v>1</v>
      </c>
      <c r="K626" t="n">
        <v>0</v>
      </c>
      <c r="L626" t="n">
        <v>0</v>
      </c>
      <c r="M626" t="n">
        <v>0</v>
      </c>
      <c r="N626" t="n">
        <v>0</v>
      </c>
      <c r="O626" t="n">
        <v>1</v>
      </c>
      <c r="P626" t="n">
        <v>0</v>
      </c>
      <c r="Q626" t="n">
        <v>1</v>
      </c>
      <c r="R626" s="2" t="inlineStr">
        <is>
          <t>Svinrot</t>
        </is>
      </c>
      <c r="S626">
        <f>HYPERLINK("https://klasma.github.io/Logging_1430/artfynd/A 37035-2024 artfynd.xlsx", "A 37035-2024")</f>
        <v/>
      </c>
      <c r="T626">
        <f>HYPERLINK("https://klasma.github.io/Logging_1430/kartor/A 37035-2024 karta.png", "A 37035-2024")</f>
        <v/>
      </c>
      <c r="V626">
        <f>HYPERLINK("https://klasma.github.io/Logging_1430/klagomål/A 37035-2024 FSC-klagomål.docx", "A 37035-2024")</f>
        <v/>
      </c>
      <c r="W626">
        <f>HYPERLINK("https://klasma.github.io/Logging_1430/klagomålsmail/A 37035-2024 FSC-klagomål mail.docx", "A 37035-2024")</f>
        <v/>
      </c>
      <c r="X626">
        <f>HYPERLINK("https://klasma.github.io/Logging_1430/tillsyn/A 37035-2024 tillsynsbegäran.docx", "A 37035-2024")</f>
        <v/>
      </c>
      <c r="Y626">
        <f>HYPERLINK("https://klasma.github.io/Logging_1430/tillsynsmail/A 37035-2024 tillsynsbegäran mail.docx", "A 37035-2024")</f>
        <v/>
      </c>
    </row>
    <row r="627" ht="15" customHeight="1">
      <c r="A627" t="inlineStr">
        <is>
          <t>A 47506-2023</t>
        </is>
      </c>
      <c r="B627" s="1" t="n">
        <v>45203.28686342593</v>
      </c>
      <c r="C627" s="1" t="n">
        <v>46011</v>
      </c>
      <c r="D627" t="inlineStr">
        <is>
          <t>VÄSTRA GÖTALANDS LÄN</t>
        </is>
      </c>
      <c r="E627" t="inlineStr">
        <is>
          <t>VÅRGÅRDA</t>
        </is>
      </c>
      <c r="G627" t="n">
        <v>1.4</v>
      </c>
      <c r="H627" t="n">
        <v>1</v>
      </c>
      <c r="I627" t="n">
        <v>0</v>
      </c>
      <c r="J627" t="n">
        <v>0</v>
      </c>
      <c r="K627" t="n">
        <v>0</v>
      </c>
      <c r="L627" t="n">
        <v>0</v>
      </c>
      <c r="M627" t="n">
        <v>0</v>
      </c>
      <c r="N627" t="n">
        <v>0</v>
      </c>
      <c r="O627" t="n">
        <v>0</v>
      </c>
      <c r="P627" t="n">
        <v>0</v>
      </c>
      <c r="Q627" t="n">
        <v>1</v>
      </c>
      <c r="R627" s="2" t="inlineStr">
        <is>
          <t>Revlummer</t>
        </is>
      </c>
      <c r="S627">
        <f>HYPERLINK("https://klasma.github.io/Logging_1442/artfynd/A 47506-2023 artfynd.xlsx", "A 47506-2023")</f>
        <v/>
      </c>
      <c r="T627">
        <f>HYPERLINK("https://klasma.github.io/Logging_1442/kartor/A 47506-2023 karta.png", "A 47506-2023")</f>
        <v/>
      </c>
      <c r="V627">
        <f>HYPERLINK("https://klasma.github.io/Logging_1442/klagomål/A 47506-2023 FSC-klagomål.docx", "A 47506-2023")</f>
        <v/>
      </c>
      <c r="W627">
        <f>HYPERLINK("https://klasma.github.io/Logging_1442/klagomålsmail/A 47506-2023 FSC-klagomål mail.docx", "A 47506-2023")</f>
        <v/>
      </c>
      <c r="X627">
        <f>HYPERLINK("https://klasma.github.io/Logging_1442/tillsyn/A 47506-2023 tillsynsbegäran.docx", "A 47506-2023")</f>
        <v/>
      </c>
      <c r="Y627">
        <f>HYPERLINK("https://klasma.github.io/Logging_1442/tillsynsmail/A 47506-2023 tillsynsbegäran mail.docx", "A 47506-2023")</f>
        <v/>
      </c>
    </row>
    <row r="628" ht="15" customHeight="1">
      <c r="A628" t="inlineStr">
        <is>
          <t>A 53880-2022</t>
        </is>
      </c>
      <c r="B628" s="1" t="n">
        <v>44880.67344907407</v>
      </c>
      <c r="C628" s="1" t="n">
        <v>46011</v>
      </c>
      <c r="D628" t="inlineStr">
        <is>
          <t>VÄSTRA GÖTALANDS LÄN</t>
        </is>
      </c>
      <c r="E628" t="inlineStr">
        <is>
          <t>MARIESTAD</t>
        </is>
      </c>
      <c r="G628" t="n">
        <v>2.2</v>
      </c>
      <c r="H628" t="n">
        <v>0</v>
      </c>
      <c r="I628" t="n">
        <v>0</v>
      </c>
      <c r="J628" t="n">
        <v>1</v>
      </c>
      <c r="K628" t="n">
        <v>0</v>
      </c>
      <c r="L628" t="n">
        <v>0</v>
      </c>
      <c r="M628" t="n">
        <v>0</v>
      </c>
      <c r="N628" t="n">
        <v>0</v>
      </c>
      <c r="O628" t="n">
        <v>1</v>
      </c>
      <c r="P628" t="n">
        <v>0</v>
      </c>
      <c r="Q628" t="n">
        <v>1</v>
      </c>
      <c r="R628" s="2" t="inlineStr">
        <is>
          <t>Svinrot</t>
        </is>
      </c>
      <c r="S628">
        <f>HYPERLINK("https://klasma.github.io/Logging_1493/artfynd/A 53880-2022 artfynd.xlsx", "A 53880-2022")</f>
        <v/>
      </c>
      <c r="T628">
        <f>HYPERLINK("https://klasma.github.io/Logging_1493/kartor/A 53880-2022 karta.png", "A 53880-2022")</f>
        <v/>
      </c>
      <c r="V628">
        <f>HYPERLINK("https://klasma.github.io/Logging_1493/klagomål/A 53880-2022 FSC-klagomål.docx", "A 53880-2022")</f>
        <v/>
      </c>
      <c r="W628">
        <f>HYPERLINK("https://klasma.github.io/Logging_1493/klagomålsmail/A 53880-2022 FSC-klagomål mail.docx", "A 53880-2022")</f>
        <v/>
      </c>
      <c r="X628">
        <f>HYPERLINK("https://klasma.github.io/Logging_1493/tillsyn/A 53880-2022 tillsynsbegäran.docx", "A 53880-2022")</f>
        <v/>
      </c>
      <c r="Y628">
        <f>HYPERLINK("https://klasma.github.io/Logging_1493/tillsynsmail/A 53880-2022 tillsynsbegäran mail.docx", "A 53880-2022")</f>
        <v/>
      </c>
    </row>
    <row r="629" ht="15" customHeight="1">
      <c r="A629" t="inlineStr">
        <is>
          <t>A 43202-2024</t>
        </is>
      </c>
      <c r="B629" s="1" t="n">
        <v>45567.69123842593</v>
      </c>
      <c r="C629" s="1" t="n">
        <v>46011</v>
      </c>
      <c r="D629" t="inlineStr">
        <is>
          <t>VÄSTRA GÖTALANDS LÄN</t>
        </is>
      </c>
      <c r="E629" t="inlineStr">
        <is>
          <t>HÄRRYDA</t>
        </is>
      </c>
      <c r="G629" t="n">
        <v>5.3</v>
      </c>
      <c r="H629" t="n">
        <v>0</v>
      </c>
      <c r="I629" t="n">
        <v>1</v>
      </c>
      <c r="J629" t="n">
        <v>0</v>
      </c>
      <c r="K629" t="n">
        <v>0</v>
      </c>
      <c r="L629" t="n">
        <v>0</v>
      </c>
      <c r="M629" t="n">
        <v>0</v>
      </c>
      <c r="N629" t="n">
        <v>0</v>
      </c>
      <c r="O629" t="n">
        <v>0</v>
      </c>
      <c r="P629" t="n">
        <v>0</v>
      </c>
      <c r="Q629" t="n">
        <v>1</v>
      </c>
      <c r="R629" s="2" t="inlineStr">
        <is>
          <t>Havstulpanlav</t>
        </is>
      </c>
      <c r="S629">
        <f>HYPERLINK("https://klasma.github.io/Logging_1401/artfynd/A 43202-2024 artfynd.xlsx", "A 43202-2024")</f>
        <v/>
      </c>
      <c r="T629">
        <f>HYPERLINK("https://klasma.github.io/Logging_1401/kartor/A 43202-2024 karta.png", "A 43202-2024")</f>
        <v/>
      </c>
      <c r="V629">
        <f>HYPERLINK("https://klasma.github.io/Logging_1401/klagomål/A 43202-2024 FSC-klagomål.docx", "A 43202-2024")</f>
        <v/>
      </c>
      <c r="W629">
        <f>HYPERLINK("https://klasma.github.io/Logging_1401/klagomålsmail/A 43202-2024 FSC-klagomål mail.docx", "A 43202-2024")</f>
        <v/>
      </c>
      <c r="X629">
        <f>HYPERLINK("https://klasma.github.io/Logging_1401/tillsyn/A 43202-2024 tillsynsbegäran.docx", "A 43202-2024")</f>
        <v/>
      </c>
      <c r="Y629">
        <f>HYPERLINK("https://klasma.github.io/Logging_1401/tillsynsmail/A 43202-2024 tillsynsbegäran mail.docx", "A 43202-2024")</f>
        <v/>
      </c>
    </row>
    <row r="630" ht="15" customHeight="1">
      <c r="A630" t="inlineStr">
        <is>
          <t>A 40050-2021</t>
        </is>
      </c>
      <c r="B630" s="1" t="n">
        <v>44418.48847222222</v>
      </c>
      <c r="C630" s="1" t="n">
        <v>46011</v>
      </c>
      <c r="D630" t="inlineStr">
        <is>
          <t>VÄSTRA GÖTALANDS LÄN</t>
        </is>
      </c>
      <c r="E630" t="inlineStr">
        <is>
          <t>TRANEMO</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HYPERLINK("https://klasma.github.io/Logging_1452/artfynd/A 40050-2021 artfynd.xlsx", "A 40050-2021")</f>
        <v/>
      </c>
      <c r="T630">
        <f>HYPERLINK("https://klasma.github.io/Logging_1452/kartor/A 40050-2021 karta.png", "A 40050-2021")</f>
        <v/>
      </c>
      <c r="V630">
        <f>HYPERLINK("https://klasma.github.io/Logging_1452/klagomål/A 40050-2021 FSC-klagomål.docx", "A 40050-2021")</f>
        <v/>
      </c>
      <c r="W630">
        <f>HYPERLINK("https://klasma.github.io/Logging_1452/klagomålsmail/A 40050-2021 FSC-klagomål mail.docx", "A 40050-2021")</f>
        <v/>
      </c>
      <c r="X630">
        <f>HYPERLINK("https://klasma.github.io/Logging_1452/tillsyn/A 40050-2021 tillsynsbegäran.docx", "A 40050-2021")</f>
        <v/>
      </c>
      <c r="Y630">
        <f>HYPERLINK("https://klasma.github.io/Logging_1452/tillsynsmail/A 40050-2021 tillsynsbegäran mail.docx", "A 40050-2021")</f>
        <v/>
      </c>
      <c r="Z630">
        <f>HYPERLINK("https://klasma.github.io/Logging_1452/fåglar/A 40050-2021 prioriterade fågelarter.docx", "A 40050-2021")</f>
        <v/>
      </c>
    </row>
    <row r="631" ht="15" customHeight="1">
      <c r="A631" t="inlineStr">
        <is>
          <t>A 16279-2025</t>
        </is>
      </c>
      <c r="B631" s="1" t="n">
        <v>45751</v>
      </c>
      <c r="C631" s="1" t="n">
        <v>46011</v>
      </c>
      <c r="D631" t="inlineStr">
        <is>
          <t>VÄSTRA GÖTALANDS LÄN</t>
        </is>
      </c>
      <c r="E631" t="inlineStr">
        <is>
          <t>MARK</t>
        </is>
      </c>
      <c r="F631" t="inlineStr">
        <is>
          <t>Sveaskog</t>
        </is>
      </c>
      <c r="G631" t="n">
        <v>3.2</v>
      </c>
      <c r="H631" t="n">
        <v>0</v>
      </c>
      <c r="I631" t="n">
        <v>1</v>
      </c>
      <c r="J631" t="n">
        <v>0</v>
      </c>
      <c r="K631" t="n">
        <v>0</v>
      </c>
      <c r="L631" t="n">
        <v>0</v>
      </c>
      <c r="M631" t="n">
        <v>0</v>
      </c>
      <c r="N631" t="n">
        <v>0</v>
      </c>
      <c r="O631" t="n">
        <v>0</v>
      </c>
      <c r="P631" t="n">
        <v>0</v>
      </c>
      <c r="Q631" t="n">
        <v>1</v>
      </c>
      <c r="R631" s="2" t="inlineStr">
        <is>
          <t>Blåmossa</t>
        </is>
      </c>
      <c r="S631">
        <f>HYPERLINK("https://klasma.github.io/Logging_1463/artfynd/A 16279-2025 artfynd.xlsx", "A 16279-2025")</f>
        <v/>
      </c>
      <c r="T631">
        <f>HYPERLINK("https://klasma.github.io/Logging_1463/kartor/A 16279-2025 karta.png", "A 16279-2025")</f>
        <v/>
      </c>
      <c r="V631">
        <f>HYPERLINK("https://klasma.github.io/Logging_1463/klagomål/A 16279-2025 FSC-klagomål.docx", "A 16279-2025")</f>
        <v/>
      </c>
      <c r="W631">
        <f>HYPERLINK("https://klasma.github.io/Logging_1463/klagomålsmail/A 16279-2025 FSC-klagomål mail.docx", "A 16279-2025")</f>
        <v/>
      </c>
      <c r="X631">
        <f>HYPERLINK("https://klasma.github.io/Logging_1463/tillsyn/A 16279-2025 tillsynsbegäran.docx", "A 16279-2025")</f>
        <v/>
      </c>
      <c r="Y631">
        <f>HYPERLINK("https://klasma.github.io/Logging_1463/tillsynsmail/A 16279-2025 tillsynsbegäran mail.docx", "A 16279-2025")</f>
        <v/>
      </c>
    </row>
    <row r="632" ht="15" customHeight="1">
      <c r="A632" t="inlineStr">
        <is>
          <t>A 426-2023</t>
        </is>
      </c>
      <c r="B632" s="1" t="n">
        <v>44929</v>
      </c>
      <c r="C632" s="1" t="n">
        <v>46011</v>
      </c>
      <c r="D632" t="inlineStr">
        <is>
          <t>VÄSTRA GÖTALANDS LÄN</t>
        </is>
      </c>
      <c r="E632" t="inlineStr">
        <is>
          <t>TIBRO</t>
        </is>
      </c>
      <c r="G632" t="n">
        <v>1.8</v>
      </c>
      <c r="H632" t="n">
        <v>0</v>
      </c>
      <c r="I632" t="n">
        <v>1</v>
      </c>
      <c r="J632" t="n">
        <v>0</v>
      </c>
      <c r="K632" t="n">
        <v>0</v>
      </c>
      <c r="L632" t="n">
        <v>0</v>
      </c>
      <c r="M632" t="n">
        <v>0</v>
      </c>
      <c r="N632" t="n">
        <v>0</v>
      </c>
      <c r="O632" t="n">
        <v>0</v>
      </c>
      <c r="P632" t="n">
        <v>0</v>
      </c>
      <c r="Q632" t="n">
        <v>1</v>
      </c>
      <c r="R632" s="2" t="inlineStr">
        <is>
          <t>Grönpyrola</t>
        </is>
      </c>
      <c r="S632">
        <f>HYPERLINK("https://klasma.github.io/Logging_1472/artfynd/A 426-2023 artfynd.xlsx", "A 426-2023")</f>
        <v/>
      </c>
      <c r="T632">
        <f>HYPERLINK("https://klasma.github.io/Logging_1472/kartor/A 426-2023 karta.png", "A 426-2023")</f>
        <v/>
      </c>
      <c r="V632">
        <f>HYPERLINK("https://klasma.github.io/Logging_1472/klagomål/A 426-2023 FSC-klagomål.docx", "A 426-2023")</f>
        <v/>
      </c>
      <c r="W632">
        <f>HYPERLINK("https://klasma.github.io/Logging_1472/klagomålsmail/A 426-2023 FSC-klagomål mail.docx", "A 426-2023")</f>
        <v/>
      </c>
      <c r="X632">
        <f>HYPERLINK("https://klasma.github.io/Logging_1472/tillsyn/A 426-2023 tillsynsbegäran.docx", "A 426-2023")</f>
        <v/>
      </c>
      <c r="Y632">
        <f>HYPERLINK("https://klasma.github.io/Logging_1472/tillsynsmail/A 426-2023 tillsynsbegäran mail.docx", "A 426-2023")</f>
        <v/>
      </c>
    </row>
    <row r="633" ht="15" customHeight="1">
      <c r="A633" t="inlineStr">
        <is>
          <t>A 266-2025</t>
        </is>
      </c>
      <c r="B633" s="1" t="n">
        <v>45653</v>
      </c>
      <c r="C633" s="1" t="n">
        <v>46011</v>
      </c>
      <c r="D633" t="inlineStr">
        <is>
          <t>VÄSTRA GÖTALANDS LÄN</t>
        </is>
      </c>
      <c r="E633" t="inlineStr">
        <is>
          <t>UDDEVALLA</t>
        </is>
      </c>
      <c r="G633" t="n">
        <v>3.4</v>
      </c>
      <c r="H633" t="n">
        <v>0</v>
      </c>
      <c r="I633" t="n">
        <v>1</v>
      </c>
      <c r="J633" t="n">
        <v>0</v>
      </c>
      <c r="K633" t="n">
        <v>0</v>
      </c>
      <c r="L633" t="n">
        <v>0</v>
      </c>
      <c r="M633" t="n">
        <v>0</v>
      </c>
      <c r="N633" t="n">
        <v>0</v>
      </c>
      <c r="O633" t="n">
        <v>0</v>
      </c>
      <c r="P633" t="n">
        <v>0</v>
      </c>
      <c r="Q633" t="n">
        <v>1</v>
      </c>
      <c r="R633" s="2" t="inlineStr">
        <is>
          <t>Blåmossa</t>
        </is>
      </c>
      <c r="S633">
        <f>HYPERLINK("https://klasma.github.io/Logging_1485/artfynd/A 266-2025 artfynd.xlsx", "A 266-2025")</f>
        <v/>
      </c>
      <c r="T633">
        <f>HYPERLINK("https://klasma.github.io/Logging_1485/kartor/A 266-2025 karta.png", "A 266-2025")</f>
        <v/>
      </c>
      <c r="V633">
        <f>HYPERLINK("https://klasma.github.io/Logging_1485/klagomål/A 266-2025 FSC-klagomål.docx", "A 266-2025")</f>
        <v/>
      </c>
      <c r="W633">
        <f>HYPERLINK("https://klasma.github.io/Logging_1485/klagomålsmail/A 266-2025 FSC-klagomål mail.docx", "A 266-2025")</f>
        <v/>
      </c>
      <c r="X633">
        <f>HYPERLINK("https://klasma.github.io/Logging_1485/tillsyn/A 266-2025 tillsynsbegäran.docx", "A 266-2025")</f>
        <v/>
      </c>
      <c r="Y633">
        <f>HYPERLINK("https://klasma.github.io/Logging_1485/tillsynsmail/A 266-2025 tillsynsbegäran mail.docx", "A 266-2025")</f>
        <v/>
      </c>
    </row>
    <row r="634" ht="15" customHeight="1">
      <c r="A634" t="inlineStr">
        <is>
          <t>A 61174-2025</t>
        </is>
      </c>
      <c r="B634" s="1" t="n">
        <v>46000</v>
      </c>
      <c r="C634" s="1" t="n">
        <v>46011</v>
      </c>
      <c r="D634" t="inlineStr">
        <is>
          <t>VÄSTRA GÖTALANDS LÄN</t>
        </is>
      </c>
      <c r="E634" t="inlineStr">
        <is>
          <t>LYSEKIL</t>
        </is>
      </c>
      <c r="G634" t="n">
        <v>2.8</v>
      </c>
      <c r="H634" t="n">
        <v>0</v>
      </c>
      <c r="I634" t="n">
        <v>0</v>
      </c>
      <c r="J634" t="n">
        <v>1</v>
      </c>
      <c r="K634" t="n">
        <v>0</v>
      </c>
      <c r="L634" t="n">
        <v>0</v>
      </c>
      <c r="M634" t="n">
        <v>0</v>
      </c>
      <c r="N634" t="n">
        <v>0</v>
      </c>
      <c r="O634" t="n">
        <v>1</v>
      </c>
      <c r="P634" t="n">
        <v>0</v>
      </c>
      <c r="Q634" t="n">
        <v>1</v>
      </c>
      <c r="R634" s="2" t="inlineStr">
        <is>
          <t>Nordbjörnbär</t>
        </is>
      </c>
      <c r="S634">
        <f>HYPERLINK("https://klasma.github.io/Logging_1484/artfynd/A 61174-2025 artfynd.xlsx", "A 61174-2025")</f>
        <v/>
      </c>
      <c r="T634">
        <f>HYPERLINK("https://klasma.github.io/Logging_1484/kartor/A 61174-2025 karta.png", "A 61174-2025")</f>
        <v/>
      </c>
      <c r="V634">
        <f>HYPERLINK("https://klasma.github.io/Logging_1484/klagomål/A 61174-2025 FSC-klagomål.docx", "A 61174-2025")</f>
        <v/>
      </c>
      <c r="W634">
        <f>HYPERLINK("https://klasma.github.io/Logging_1484/klagomålsmail/A 61174-2025 FSC-klagomål mail.docx", "A 61174-2025")</f>
        <v/>
      </c>
      <c r="X634">
        <f>HYPERLINK("https://klasma.github.io/Logging_1484/tillsyn/A 61174-2025 tillsynsbegäran.docx", "A 61174-2025")</f>
        <v/>
      </c>
      <c r="Y634">
        <f>HYPERLINK("https://klasma.github.io/Logging_1484/tillsynsmail/A 61174-2025 tillsynsbegäran mail.docx", "A 61174-2025")</f>
        <v/>
      </c>
    </row>
    <row r="635" ht="15" customHeight="1">
      <c r="A635" t="inlineStr">
        <is>
          <t>A 25655-2023</t>
        </is>
      </c>
      <c r="B635" s="1" t="n">
        <v>45089</v>
      </c>
      <c r="C635" s="1" t="n">
        <v>46011</v>
      </c>
      <c r="D635" t="inlineStr">
        <is>
          <t>VÄSTRA GÖTALANDS LÄN</t>
        </is>
      </c>
      <c r="E635" t="inlineStr">
        <is>
          <t>LILLA EDET</t>
        </is>
      </c>
      <c r="G635" t="n">
        <v>5.1</v>
      </c>
      <c r="H635" t="n">
        <v>0</v>
      </c>
      <c r="I635" t="n">
        <v>0</v>
      </c>
      <c r="J635" t="n">
        <v>1</v>
      </c>
      <c r="K635" t="n">
        <v>0</v>
      </c>
      <c r="L635" t="n">
        <v>0</v>
      </c>
      <c r="M635" t="n">
        <v>0</v>
      </c>
      <c r="N635" t="n">
        <v>0</v>
      </c>
      <c r="O635" t="n">
        <v>1</v>
      </c>
      <c r="P635" t="n">
        <v>0</v>
      </c>
      <c r="Q635" t="n">
        <v>1</v>
      </c>
      <c r="R635" s="2" t="inlineStr">
        <is>
          <t>Bergjohannesört</t>
        </is>
      </c>
      <c r="S635">
        <f>HYPERLINK("https://klasma.github.io/Logging_1462/artfynd/A 25655-2023 artfynd.xlsx", "A 25655-2023")</f>
        <v/>
      </c>
      <c r="T635">
        <f>HYPERLINK("https://klasma.github.io/Logging_1462/kartor/A 25655-2023 karta.png", "A 25655-2023")</f>
        <v/>
      </c>
      <c r="V635">
        <f>HYPERLINK("https://klasma.github.io/Logging_1462/klagomål/A 25655-2023 FSC-klagomål.docx", "A 25655-2023")</f>
        <v/>
      </c>
      <c r="W635">
        <f>HYPERLINK("https://klasma.github.io/Logging_1462/klagomålsmail/A 25655-2023 FSC-klagomål mail.docx", "A 25655-2023")</f>
        <v/>
      </c>
      <c r="X635">
        <f>HYPERLINK("https://klasma.github.io/Logging_1462/tillsyn/A 25655-2023 tillsynsbegäran.docx", "A 25655-2023")</f>
        <v/>
      </c>
      <c r="Y635">
        <f>HYPERLINK("https://klasma.github.io/Logging_1462/tillsynsmail/A 25655-2023 tillsynsbegäran mail.docx", "A 25655-2023")</f>
        <v/>
      </c>
    </row>
    <row r="636" ht="15" customHeight="1">
      <c r="A636" t="inlineStr">
        <is>
          <t>A 32284-2023</t>
        </is>
      </c>
      <c r="B636" s="1" t="n">
        <v>45120</v>
      </c>
      <c r="C636" s="1" t="n">
        <v>46011</v>
      </c>
      <c r="D636" t="inlineStr">
        <is>
          <t>VÄSTRA GÖTALANDS LÄN</t>
        </is>
      </c>
      <c r="E636" t="inlineStr">
        <is>
          <t>DALS-ED</t>
        </is>
      </c>
      <c r="G636" t="n">
        <v>3.9</v>
      </c>
      <c r="H636" t="n">
        <v>0</v>
      </c>
      <c r="I636" t="n">
        <v>0</v>
      </c>
      <c r="J636" t="n">
        <v>1</v>
      </c>
      <c r="K636" t="n">
        <v>0</v>
      </c>
      <c r="L636" t="n">
        <v>0</v>
      </c>
      <c r="M636" t="n">
        <v>0</v>
      </c>
      <c r="N636" t="n">
        <v>0</v>
      </c>
      <c r="O636" t="n">
        <v>1</v>
      </c>
      <c r="P636" t="n">
        <v>0</v>
      </c>
      <c r="Q636" t="n">
        <v>1</v>
      </c>
      <c r="R636" s="2" t="inlineStr">
        <is>
          <t>Mindre bastardsvärmare</t>
        </is>
      </c>
      <c r="S636">
        <f>HYPERLINK("https://klasma.github.io/Logging_1438/artfynd/A 32284-2023 artfynd.xlsx", "A 32284-2023")</f>
        <v/>
      </c>
      <c r="T636">
        <f>HYPERLINK("https://klasma.github.io/Logging_1438/kartor/A 32284-2023 karta.png", "A 32284-2023")</f>
        <v/>
      </c>
      <c r="V636">
        <f>HYPERLINK("https://klasma.github.io/Logging_1438/klagomål/A 32284-2023 FSC-klagomål.docx", "A 32284-2023")</f>
        <v/>
      </c>
      <c r="W636">
        <f>HYPERLINK("https://klasma.github.io/Logging_1438/klagomålsmail/A 32284-2023 FSC-klagomål mail.docx", "A 32284-2023")</f>
        <v/>
      </c>
      <c r="X636">
        <f>HYPERLINK("https://klasma.github.io/Logging_1438/tillsyn/A 32284-2023 tillsynsbegäran.docx", "A 32284-2023")</f>
        <v/>
      </c>
      <c r="Y636">
        <f>HYPERLINK("https://klasma.github.io/Logging_1438/tillsynsmail/A 32284-2023 tillsynsbegäran mail.docx", "A 32284-2023")</f>
        <v/>
      </c>
    </row>
    <row r="637" ht="15" customHeight="1">
      <c r="A637" t="inlineStr">
        <is>
          <t>A 60881-2025</t>
        </is>
      </c>
      <c r="B637" s="1" t="n">
        <v>45999</v>
      </c>
      <c r="C637" s="1" t="n">
        <v>46011</v>
      </c>
      <c r="D637" t="inlineStr">
        <is>
          <t>VÄSTRA GÖTALANDS LÄN</t>
        </is>
      </c>
      <c r="E637" t="inlineStr">
        <is>
          <t>VARA</t>
        </is>
      </c>
      <c r="G637" t="n">
        <v>6.6</v>
      </c>
      <c r="H637" t="n">
        <v>0</v>
      </c>
      <c r="I637" t="n">
        <v>1</v>
      </c>
      <c r="J637" t="n">
        <v>0</v>
      </c>
      <c r="K637" t="n">
        <v>0</v>
      </c>
      <c r="L637" t="n">
        <v>0</v>
      </c>
      <c r="M637" t="n">
        <v>0</v>
      </c>
      <c r="N637" t="n">
        <v>0</v>
      </c>
      <c r="O637" t="n">
        <v>0</v>
      </c>
      <c r="P637" t="n">
        <v>0</v>
      </c>
      <c r="Q637" t="n">
        <v>1</v>
      </c>
      <c r="R637" s="2" t="inlineStr">
        <is>
          <t>Rostfläck</t>
        </is>
      </c>
      <c r="S637">
        <f>HYPERLINK("https://klasma.github.io/Logging_1470/artfynd/A 60881-2025 artfynd.xlsx", "A 60881-2025")</f>
        <v/>
      </c>
      <c r="T637">
        <f>HYPERLINK("https://klasma.github.io/Logging_1470/kartor/A 60881-2025 karta.png", "A 60881-2025")</f>
        <v/>
      </c>
      <c r="V637">
        <f>HYPERLINK("https://klasma.github.io/Logging_1470/klagomål/A 60881-2025 FSC-klagomål.docx", "A 60881-2025")</f>
        <v/>
      </c>
      <c r="W637">
        <f>HYPERLINK("https://klasma.github.io/Logging_1470/klagomålsmail/A 60881-2025 FSC-klagomål mail.docx", "A 60881-2025")</f>
        <v/>
      </c>
      <c r="X637">
        <f>HYPERLINK("https://klasma.github.io/Logging_1470/tillsyn/A 60881-2025 tillsynsbegäran.docx", "A 60881-2025")</f>
        <v/>
      </c>
      <c r="Y637">
        <f>HYPERLINK("https://klasma.github.io/Logging_1470/tillsynsmail/A 60881-2025 tillsynsbegäran mail.docx", "A 60881-2025")</f>
        <v/>
      </c>
    </row>
    <row r="638" ht="15" customHeight="1">
      <c r="A638" t="inlineStr">
        <is>
          <t>A 42509-2021</t>
        </is>
      </c>
      <c r="B638" s="1" t="n">
        <v>44427</v>
      </c>
      <c r="C638" s="1" t="n">
        <v>46011</v>
      </c>
      <c r="D638" t="inlineStr">
        <is>
          <t>VÄSTRA GÖTALANDS LÄN</t>
        </is>
      </c>
      <c r="E638" t="inlineStr">
        <is>
          <t>FALKÖPING</t>
        </is>
      </c>
      <c r="G638" t="n">
        <v>2.8</v>
      </c>
      <c r="H638" t="n">
        <v>0</v>
      </c>
      <c r="I638" t="n">
        <v>0</v>
      </c>
      <c r="J638" t="n">
        <v>0</v>
      </c>
      <c r="K638" t="n">
        <v>0</v>
      </c>
      <c r="L638" t="n">
        <v>1</v>
      </c>
      <c r="M638" t="n">
        <v>0</v>
      </c>
      <c r="N638" t="n">
        <v>0</v>
      </c>
      <c r="O638" t="n">
        <v>1</v>
      </c>
      <c r="P638" t="n">
        <v>1</v>
      </c>
      <c r="Q638" t="n">
        <v>1</v>
      </c>
      <c r="R638" s="2" t="inlineStr">
        <is>
          <t>Ask</t>
        </is>
      </c>
      <c r="S638">
        <f>HYPERLINK("https://klasma.github.io/Logging_1499/artfynd/A 42509-2021 artfynd.xlsx", "A 42509-2021")</f>
        <v/>
      </c>
      <c r="T638">
        <f>HYPERLINK("https://klasma.github.io/Logging_1499/kartor/A 42509-2021 karta.png", "A 42509-2021")</f>
        <v/>
      </c>
      <c r="V638">
        <f>HYPERLINK("https://klasma.github.io/Logging_1499/klagomål/A 42509-2021 FSC-klagomål.docx", "A 42509-2021")</f>
        <v/>
      </c>
      <c r="W638">
        <f>HYPERLINK("https://klasma.github.io/Logging_1499/klagomålsmail/A 42509-2021 FSC-klagomål mail.docx", "A 42509-2021")</f>
        <v/>
      </c>
      <c r="X638">
        <f>HYPERLINK("https://klasma.github.io/Logging_1499/tillsyn/A 42509-2021 tillsynsbegäran.docx", "A 42509-2021")</f>
        <v/>
      </c>
      <c r="Y638">
        <f>HYPERLINK("https://klasma.github.io/Logging_1499/tillsynsmail/A 42509-2021 tillsynsbegäran mail.docx", "A 42509-2021")</f>
        <v/>
      </c>
    </row>
    <row r="639" ht="15" customHeight="1">
      <c r="A639" t="inlineStr">
        <is>
          <t>A 59493-2024</t>
        </is>
      </c>
      <c r="B639" s="1" t="n">
        <v>45637</v>
      </c>
      <c r="C639" s="1" t="n">
        <v>46011</v>
      </c>
      <c r="D639" t="inlineStr">
        <is>
          <t>VÄSTRA GÖTALANDS LÄN</t>
        </is>
      </c>
      <c r="E639" t="inlineStr">
        <is>
          <t>ÅMÅL</t>
        </is>
      </c>
      <c r="F639" t="inlineStr">
        <is>
          <t>Bergvik skog väst AB</t>
        </is>
      </c>
      <c r="G639" t="n">
        <v>5.2</v>
      </c>
      <c r="H639" t="n">
        <v>0</v>
      </c>
      <c r="I639" t="n">
        <v>0</v>
      </c>
      <c r="J639" t="n">
        <v>1</v>
      </c>
      <c r="K639" t="n">
        <v>0</v>
      </c>
      <c r="L639" t="n">
        <v>0</v>
      </c>
      <c r="M639" t="n">
        <v>0</v>
      </c>
      <c r="N639" t="n">
        <v>0</v>
      </c>
      <c r="O639" t="n">
        <v>1</v>
      </c>
      <c r="P639" t="n">
        <v>0</v>
      </c>
      <c r="Q639" t="n">
        <v>1</v>
      </c>
      <c r="R639" s="2" t="inlineStr">
        <is>
          <t>Skrovellav</t>
        </is>
      </c>
      <c r="S639">
        <f>HYPERLINK("https://klasma.github.io/Logging_1492/artfynd/A 59493-2024 artfynd.xlsx", "A 59493-2024")</f>
        <v/>
      </c>
      <c r="T639">
        <f>HYPERLINK("https://klasma.github.io/Logging_1492/kartor/A 59493-2024 karta.png", "A 59493-2024")</f>
        <v/>
      </c>
      <c r="V639">
        <f>HYPERLINK("https://klasma.github.io/Logging_1492/klagomål/A 59493-2024 FSC-klagomål.docx", "A 59493-2024")</f>
        <v/>
      </c>
      <c r="W639">
        <f>HYPERLINK("https://klasma.github.io/Logging_1492/klagomålsmail/A 59493-2024 FSC-klagomål mail.docx", "A 59493-2024")</f>
        <v/>
      </c>
      <c r="X639">
        <f>HYPERLINK("https://klasma.github.io/Logging_1492/tillsyn/A 59493-2024 tillsynsbegäran.docx", "A 59493-2024")</f>
        <v/>
      </c>
      <c r="Y639">
        <f>HYPERLINK("https://klasma.github.io/Logging_1492/tillsynsmail/A 59493-2024 tillsynsbegäran mail.docx", "A 59493-2024")</f>
        <v/>
      </c>
    </row>
    <row r="640" ht="15" customHeight="1">
      <c r="A640" t="inlineStr">
        <is>
          <t>A 10865-2022</t>
        </is>
      </c>
      <c r="B640" s="1" t="n">
        <v>44627.64710648148</v>
      </c>
      <c r="C640" s="1" t="n">
        <v>46011</v>
      </c>
      <c r="D640" t="inlineStr">
        <is>
          <t>VÄSTRA GÖTALANDS LÄN</t>
        </is>
      </c>
      <c r="E640" t="inlineStr">
        <is>
          <t>UDDEVALLA</t>
        </is>
      </c>
      <c r="G640" t="n">
        <v>3.9</v>
      </c>
      <c r="H640" t="n">
        <v>1</v>
      </c>
      <c r="I640" t="n">
        <v>0</v>
      </c>
      <c r="J640" t="n">
        <v>0</v>
      </c>
      <c r="K640" t="n">
        <v>0</v>
      </c>
      <c r="L640" t="n">
        <v>0</v>
      </c>
      <c r="M640" t="n">
        <v>0</v>
      </c>
      <c r="N640" t="n">
        <v>0</v>
      </c>
      <c r="O640" t="n">
        <v>0</v>
      </c>
      <c r="P640" t="n">
        <v>0</v>
      </c>
      <c r="Q640" t="n">
        <v>1</v>
      </c>
      <c r="R640" s="2" t="inlineStr">
        <is>
          <t>Revlummer</t>
        </is>
      </c>
      <c r="S640">
        <f>HYPERLINK("https://klasma.github.io/Logging_1485/artfynd/A 10865-2022 artfynd.xlsx", "A 10865-2022")</f>
        <v/>
      </c>
      <c r="T640">
        <f>HYPERLINK("https://klasma.github.io/Logging_1485/kartor/A 10865-2022 karta.png", "A 10865-2022")</f>
        <v/>
      </c>
      <c r="V640">
        <f>HYPERLINK("https://klasma.github.io/Logging_1485/klagomål/A 10865-2022 FSC-klagomål.docx", "A 10865-2022")</f>
        <v/>
      </c>
      <c r="W640">
        <f>HYPERLINK("https://klasma.github.io/Logging_1485/klagomålsmail/A 10865-2022 FSC-klagomål mail.docx", "A 10865-2022")</f>
        <v/>
      </c>
      <c r="X640">
        <f>HYPERLINK("https://klasma.github.io/Logging_1485/tillsyn/A 10865-2022 tillsynsbegäran.docx", "A 10865-2022")</f>
        <v/>
      </c>
      <c r="Y640">
        <f>HYPERLINK("https://klasma.github.io/Logging_1485/tillsynsmail/A 10865-2022 tillsynsbegäran mail.docx", "A 10865-2022")</f>
        <v/>
      </c>
    </row>
    <row r="641" ht="15" customHeight="1">
      <c r="A641" t="inlineStr">
        <is>
          <t>A 15351-2024</t>
        </is>
      </c>
      <c r="B641" s="1" t="n">
        <v>45400.8005787037</v>
      </c>
      <c r="C641" s="1" t="n">
        <v>46011</v>
      </c>
      <c r="D641" t="inlineStr">
        <is>
          <t>VÄSTRA GÖTALANDS LÄN</t>
        </is>
      </c>
      <c r="E641" t="inlineStr">
        <is>
          <t>LILLA EDET</t>
        </is>
      </c>
      <c r="F641" t="inlineStr">
        <is>
          <t>Kyrkan</t>
        </is>
      </c>
      <c r="G641" t="n">
        <v>3</v>
      </c>
      <c r="H641" t="n">
        <v>0</v>
      </c>
      <c r="I641" t="n">
        <v>0</v>
      </c>
      <c r="J641" t="n">
        <v>1</v>
      </c>
      <c r="K641" t="n">
        <v>0</v>
      </c>
      <c r="L641" t="n">
        <v>0</v>
      </c>
      <c r="M641" t="n">
        <v>0</v>
      </c>
      <c r="N641" t="n">
        <v>0</v>
      </c>
      <c r="O641" t="n">
        <v>1</v>
      </c>
      <c r="P641" t="n">
        <v>0</v>
      </c>
      <c r="Q641" t="n">
        <v>1</v>
      </c>
      <c r="R641" s="2" t="inlineStr">
        <is>
          <t>Guldsandbi</t>
        </is>
      </c>
      <c r="S641">
        <f>HYPERLINK("https://klasma.github.io/Logging_1462/artfynd/A 15351-2024 artfynd.xlsx", "A 15351-2024")</f>
        <v/>
      </c>
      <c r="T641">
        <f>HYPERLINK("https://klasma.github.io/Logging_1462/kartor/A 15351-2024 karta.png", "A 15351-2024")</f>
        <v/>
      </c>
      <c r="V641">
        <f>HYPERLINK("https://klasma.github.io/Logging_1462/klagomål/A 15351-2024 FSC-klagomål.docx", "A 15351-2024")</f>
        <v/>
      </c>
      <c r="W641">
        <f>HYPERLINK("https://klasma.github.io/Logging_1462/klagomålsmail/A 15351-2024 FSC-klagomål mail.docx", "A 15351-2024")</f>
        <v/>
      </c>
      <c r="X641">
        <f>HYPERLINK("https://klasma.github.io/Logging_1462/tillsyn/A 15351-2024 tillsynsbegäran.docx", "A 15351-2024")</f>
        <v/>
      </c>
      <c r="Y641">
        <f>HYPERLINK("https://klasma.github.io/Logging_1462/tillsynsmail/A 15351-2024 tillsynsbegäran mail.docx", "A 15351-2024")</f>
        <v/>
      </c>
    </row>
    <row r="642" ht="15" customHeight="1">
      <c r="A642" t="inlineStr">
        <is>
          <t>A 16277-2025</t>
        </is>
      </c>
      <c r="B642" s="1" t="n">
        <v>45751</v>
      </c>
      <c r="C642" s="1" t="n">
        <v>46011</v>
      </c>
      <c r="D642" t="inlineStr">
        <is>
          <t>VÄSTRA GÖTALANDS LÄN</t>
        </is>
      </c>
      <c r="E642" t="inlineStr">
        <is>
          <t>MARK</t>
        </is>
      </c>
      <c r="F642" t="inlineStr">
        <is>
          <t>Sveaskog</t>
        </is>
      </c>
      <c r="G642" t="n">
        <v>4.6</v>
      </c>
      <c r="H642" t="n">
        <v>0</v>
      </c>
      <c r="I642" t="n">
        <v>1</v>
      </c>
      <c r="J642" t="n">
        <v>0</v>
      </c>
      <c r="K642" t="n">
        <v>0</v>
      </c>
      <c r="L642" t="n">
        <v>0</v>
      </c>
      <c r="M642" t="n">
        <v>0</v>
      </c>
      <c r="N642" t="n">
        <v>0</v>
      </c>
      <c r="O642" t="n">
        <v>0</v>
      </c>
      <c r="P642" t="n">
        <v>0</v>
      </c>
      <c r="Q642" t="n">
        <v>1</v>
      </c>
      <c r="R642" s="2" t="inlineStr">
        <is>
          <t>Stor revmossa</t>
        </is>
      </c>
      <c r="S642">
        <f>HYPERLINK("https://klasma.github.io/Logging_1463/artfynd/A 16277-2025 artfynd.xlsx", "A 16277-2025")</f>
        <v/>
      </c>
      <c r="T642">
        <f>HYPERLINK("https://klasma.github.io/Logging_1463/kartor/A 16277-2025 karta.png", "A 16277-2025")</f>
        <v/>
      </c>
      <c r="V642">
        <f>HYPERLINK("https://klasma.github.io/Logging_1463/klagomål/A 16277-2025 FSC-klagomål.docx", "A 16277-2025")</f>
        <v/>
      </c>
      <c r="W642">
        <f>HYPERLINK("https://klasma.github.io/Logging_1463/klagomålsmail/A 16277-2025 FSC-klagomål mail.docx", "A 16277-2025")</f>
        <v/>
      </c>
      <c r="X642">
        <f>HYPERLINK("https://klasma.github.io/Logging_1463/tillsyn/A 16277-2025 tillsynsbegäran.docx", "A 16277-2025")</f>
        <v/>
      </c>
      <c r="Y642">
        <f>HYPERLINK("https://klasma.github.io/Logging_1463/tillsynsmail/A 16277-2025 tillsynsbegäran mail.docx", "A 16277-2025")</f>
        <v/>
      </c>
    </row>
    <row r="643" ht="15" customHeight="1">
      <c r="A643" t="inlineStr">
        <is>
          <t>A 53485-2023</t>
        </is>
      </c>
      <c r="B643" s="1" t="n">
        <v>45230</v>
      </c>
      <c r="C643" s="1" t="n">
        <v>46011</v>
      </c>
      <c r="D643" t="inlineStr">
        <is>
          <t>VÄSTRA GÖTALANDS LÄN</t>
        </is>
      </c>
      <c r="E643" t="inlineStr">
        <is>
          <t>STRÖMSTAD</t>
        </is>
      </c>
      <c r="G643" t="n">
        <v>1.9</v>
      </c>
      <c r="H643" t="n">
        <v>1</v>
      </c>
      <c r="I643" t="n">
        <v>0</v>
      </c>
      <c r="J643" t="n">
        <v>1</v>
      </c>
      <c r="K643" t="n">
        <v>0</v>
      </c>
      <c r="L643" t="n">
        <v>0</v>
      </c>
      <c r="M643" t="n">
        <v>0</v>
      </c>
      <c r="N643" t="n">
        <v>0</v>
      </c>
      <c r="O643" t="n">
        <v>1</v>
      </c>
      <c r="P643" t="n">
        <v>0</v>
      </c>
      <c r="Q643" t="n">
        <v>1</v>
      </c>
      <c r="R643" s="2" t="inlineStr">
        <is>
          <t>Spillkråka</t>
        </is>
      </c>
      <c r="S643">
        <f>HYPERLINK("https://klasma.github.io/Logging_1486/artfynd/A 53485-2023 artfynd.xlsx", "A 53485-2023")</f>
        <v/>
      </c>
      <c r="T643">
        <f>HYPERLINK("https://klasma.github.io/Logging_1486/kartor/A 53485-2023 karta.png", "A 53485-2023")</f>
        <v/>
      </c>
      <c r="V643">
        <f>HYPERLINK("https://klasma.github.io/Logging_1486/klagomål/A 53485-2023 FSC-klagomål.docx", "A 53485-2023")</f>
        <v/>
      </c>
      <c r="W643">
        <f>HYPERLINK("https://klasma.github.io/Logging_1486/klagomålsmail/A 53485-2023 FSC-klagomål mail.docx", "A 53485-2023")</f>
        <v/>
      </c>
      <c r="X643">
        <f>HYPERLINK("https://klasma.github.io/Logging_1486/tillsyn/A 53485-2023 tillsynsbegäran.docx", "A 53485-2023")</f>
        <v/>
      </c>
      <c r="Y643">
        <f>HYPERLINK("https://klasma.github.io/Logging_1486/tillsynsmail/A 53485-2023 tillsynsbegäran mail.docx", "A 53485-2023")</f>
        <v/>
      </c>
      <c r="Z643">
        <f>HYPERLINK("https://klasma.github.io/Logging_1486/fåglar/A 53485-2023 prioriterade fågelarter.docx", "A 53485-2023")</f>
        <v/>
      </c>
    </row>
    <row r="644" ht="15" customHeight="1">
      <c r="A644" t="inlineStr">
        <is>
          <t>A 36545-2023</t>
        </is>
      </c>
      <c r="B644" s="1" t="n">
        <v>45153</v>
      </c>
      <c r="C644" s="1" t="n">
        <v>46011</v>
      </c>
      <c r="D644" t="inlineStr">
        <is>
          <t>VÄSTRA GÖTALANDS LÄN</t>
        </is>
      </c>
      <c r="E644" t="inlineStr">
        <is>
          <t>BORÅS</t>
        </is>
      </c>
      <c r="G644" t="n">
        <v>4.5</v>
      </c>
      <c r="H644" t="n">
        <v>1</v>
      </c>
      <c r="I644" t="n">
        <v>0</v>
      </c>
      <c r="J644" t="n">
        <v>0</v>
      </c>
      <c r="K644" t="n">
        <v>0</v>
      </c>
      <c r="L644" t="n">
        <v>0</v>
      </c>
      <c r="M644" t="n">
        <v>0</v>
      </c>
      <c r="N644" t="n">
        <v>0</v>
      </c>
      <c r="O644" t="n">
        <v>0</v>
      </c>
      <c r="P644" t="n">
        <v>0</v>
      </c>
      <c r="Q644" t="n">
        <v>1</v>
      </c>
      <c r="R644" s="2" t="inlineStr">
        <is>
          <t>Revlummer</t>
        </is>
      </c>
      <c r="S644">
        <f>HYPERLINK("https://klasma.github.io/Logging_1490/artfynd/A 36545-2023 artfynd.xlsx", "A 36545-2023")</f>
        <v/>
      </c>
      <c r="T644">
        <f>HYPERLINK("https://klasma.github.io/Logging_1490/kartor/A 36545-2023 karta.png", "A 36545-2023")</f>
        <v/>
      </c>
      <c r="V644">
        <f>HYPERLINK("https://klasma.github.io/Logging_1490/klagomål/A 36545-2023 FSC-klagomål.docx", "A 36545-2023")</f>
        <v/>
      </c>
      <c r="W644">
        <f>HYPERLINK("https://klasma.github.io/Logging_1490/klagomålsmail/A 36545-2023 FSC-klagomål mail.docx", "A 36545-2023")</f>
        <v/>
      </c>
      <c r="X644">
        <f>HYPERLINK("https://klasma.github.io/Logging_1490/tillsyn/A 36545-2023 tillsynsbegäran.docx", "A 36545-2023")</f>
        <v/>
      </c>
      <c r="Y644">
        <f>HYPERLINK("https://klasma.github.io/Logging_1490/tillsynsmail/A 36545-2023 tillsynsbegäran mail.docx", "A 36545-2023")</f>
        <v/>
      </c>
    </row>
    <row r="645" ht="15" customHeight="1">
      <c r="A645" t="inlineStr">
        <is>
          <t>A 62079-2025</t>
        </is>
      </c>
      <c r="B645" s="1" t="n">
        <v>46006.37196759259</v>
      </c>
      <c r="C645" s="1" t="n">
        <v>46011</v>
      </c>
      <c r="D645" t="inlineStr">
        <is>
          <t>VÄSTRA GÖTALANDS LÄN</t>
        </is>
      </c>
      <c r="E645" t="inlineStr">
        <is>
          <t>MARK</t>
        </is>
      </c>
      <c r="G645" t="n">
        <v>9.800000000000001</v>
      </c>
      <c r="H645" t="n">
        <v>0</v>
      </c>
      <c r="I645" t="n">
        <v>0</v>
      </c>
      <c r="J645" t="n">
        <v>0</v>
      </c>
      <c r="K645" t="n">
        <v>0</v>
      </c>
      <c r="L645" t="n">
        <v>0</v>
      </c>
      <c r="M645" t="n">
        <v>1</v>
      </c>
      <c r="N645" t="n">
        <v>0</v>
      </c>
      <c r="O645" t="n">
        <v>1</v>
      </c>
      <c r="P645" t="n">
        <v>1</v>
      </c>
      <c r="Q645" t="n">
        <v>1</v>
      </c>
      <c r="R645" s="2" t="inlineStr">
        <is>
          <t>Ål</t>
        </is>
      </c>
      <c r="S645">
        <f>HYPERLINK("https://klasma.github.io/Logging_1463/artfynd/A 62079-2025 artfynd.xlsx", "A 62079-2025")</f>
        <v/>
      </c>
      <c r="T645">
        <f>HYPERLINK("https://klasma.github.io/Logging_1463/kartor/A 62079-2025 karta.png", "A 62079-2025")</f>
        <v/>
      </c>
      <c r="V645">
        <f>HYPERLINK("https://klasma.github.io/Logging_1463/klagomål/A 62079-2025 FSC-klagomål.docx", "A 62079-2025")</f>
        <v/>
      </c>
      <c r="W645">
        <f>HYPERLINK("https://klasma.github.io/Logging_1463/klagomålsmail/A 62079-2025 FSC-klagomål mail.docx", "A 62079-2025")</f>
        <v/>
      </c>
      <c r="X645">
        <f>HYPERLINK("https://klasma.github.io/Logging_1463/tillsyn/A 62079-2025 tillsynsbegäran.docx", "A 62079-2025")</f>
        <v/>
      </c>
      <c r="Y645">
        <f>HYPERLINK("https://klasma.github.io/Logging_1463/tillsynsmail/A 62079-2025 tillsynsbegäran mail.docx", "A 62079-2025")</f>
        <v/>
      </c>
    </row>
    <row r="646" ht="15" customHeight="1">
      <c r="A646" t="inlineStr">
        <is>
          <t>A 62032-2025</t>
        </is>
      </c>
      <c r="B646" s="1" t="n">
        <v>46004.39053240741</v>
      </c>
      <c r="C646" s="1" t="n">
        <v>46011</v>
      </c>
      <c r="D646" t="inlineStr">
        <is>
          <t>VÄSTRA GÖTALANDS LÄN</t>
        </is>
      </c>
      <c r="E646" t="inlineStr">
        <is>
          <t>ULRICEHAMN</t>
        </is>
      </c>
      <c r="G646" t="n">
        <v>2.2</v>
      </c>
      <c r="H646" t="n">
        <v>1</v>
      </c>
      <c r="I646" t="n">
        <v>0</v>
      </c>
      <c r="J646" t="n">
        <v>0</v>
      </c>
      <c r="K646" t="n">
        <v>0</v>
      </c>
      <c r="L646" t="n">
        <v>0</v>
      </c>
      <c r="M646" t="n">
        <v>0</v>
      </c>
      <c r="N646" t="n">
        <v>0</v>
      </c>
      <c r="O646" t="n">
        <v>0</v>
      </c>
      <c r="P646" t="n">
        <v>0</v>
      </c>
      <c r="Q646" t="n">
        <v>1</v>
      </c>
      <c r="R646" s="2" t="inlineStr">
        <is>
          <t>Revlummer</t>
        </is>
      </c>
      <c r="S646">
        <f>HYPERLINK("https://klasma.github.io/Logging_1491/artfynd/A 62032-2025 artfynd.xlsx", "A 62032-2025")</f>
        <v/>
      </c>
      <c r="T646">
        <f>HYPERLINK("https://klasma.github.io/Logging_1491/kartor/A 62032-2025 karta.png", "A 62032-2025")</f>
        <v/>
      </c>
      <c r="V646">
        <f>HYPERLINK("https://klasma.github.io/Logging_1491/klagomål/A 62032-2025 FSC-klagomål.docx", "A 62032-2025")</f>
        <v/>
      </c>
      <c r="W646">
        <f>HYPERLINK("https://klasma.github.io/Logging_1491/klagomålsmail/A 62032-2025 FSC-klagomål mail.docx", "A 62032-2025")</f>
        <v/>
      </c>
      <c r="X646">
        <f>HYPERLINK("https://klasma.github.io/Logging_1491/tillsyn/A 62032-2025 tillsynsbegäran.docx", "A 62032-2025")</f>
        <v/>
      </c>
      <c r="Y646">
        <f>HYPERLINK("https://klasma.github.io/Logging_1491/tillsynsmail/A 62032-2025 tillsynsbegäran mail.docx", "A 62032-2025")</f>
        <v/>
      </c>
    </row>
    <row r="647" ht="15" customHeight="1">
      <c r="A647" t="inlineStr">
        <is>
          <t>A 61984-2025</t>
        </is>
      </c>
      <c r="B647" s="1" t="n">
        <v>46003</v>
      </c>
      <c r="C647" s="1" t="n">
        <v>46011</v>
      </c>
      <c r="D647" t="inlineStr">
        <is>
          <t>VÄSTRA GÖTALANDS LÄN</t>
        </is>
      </c>
      <c r="E647" t="inlineStr">
        <is>
          <t>FALKÖPING</t>
        </is>
      </c>
      <c r="G647" t="n">
        <v>5.7</v>
      </c>
      <c r="H647" t="n">
        <v>0</v>
      </c>
      <c r="I647" t="n">
        <v>1</v>
      </c>
      <c r="J647" t="n">
        <v>0</v>
      </c>
      <c r="K647" t="n">
        <v>0</v>
      </c>
      <c r="L647" t="n">
        <v>0</v>
      </c>
      <c r="M647" t="n">
        <v>0</v>
      </c>
      <c r="N647" t="n">
        <v>0</v>
      </c>
      <c r="O647" t="n">
        <v>0</v>
      </c>
      <c r="P647" t="n">
        <v>0</v>
      </c>
      <c r="Q647" t="n">
        <v>1</v>
      </c>
      <c r="R647" s="2" t="inlineStr">
        <is>
          <t>Springkorn</t>
        </is>
      </c>
      <c r="S647">
        <f>HYPERLINK("https://klasma.github.io/Logging_1499/artfynd/A 61984-2025 artfynd.xlsx", "A 61984-2025")</f>
        <v/>
      </c>
      <c r="T647">
        <f>HYPERLINK("https://klasma.github.io/Logging_1499/kartor/A 61984-2025 karta.png", "A 61984-2025")</f>
        <v/>
      </c>
      <c r="V647">
        <f>HYPERLINK("https://klasma.github.io/Logging_1499/klagomål/A 61984-2025 FSC-klagomål.docx", "A 61984-2025")</f>
        <v/>
      </c>
      <c r="W647">
        <f>HYPERLINK("https://klasma.github.io/Logging_1499/klagomålsmail/A 61984-2025 FSC-klagomål mail.docx", "A 61984-2025")</f>
        <v/>
      </c>
      <c r="X647">
        <f>HYPERLINK("https://klasma.github.io/Logging_1499/tillsyn/A 61984-2025 tillsynsbegäran.docx", "A 61984-2025")</f>
        <v/>
      </c>
      <c r="Y647">
        <f>HYPERLINK("https://klasma.github.io/Logging_1499/tillsynsmail/A 61984-2025 tillsynsbegäran mail.docx", "A 61984-2025")</f>
        <v/>
      </c>
    </row>
    <row r="648" ht="15" customHeight="1">
      <c r="A648" t="inlineStr">
        <is>
          <t>A 41056-2025</t>
        </is>
      </c>
      <c r="B648" s="1" t="n">
        <v>45898</v>
      </c>
      <c r="C648" s="1" t="n">
        <v>46011</v>
      </c>
      <c r="D648" t="inlineStr">
        <is>
          <t>VÄSTRA GÖTALANDS LÄN</t>
        </is>
      </c>
      <c r="E648" t="inlineStr">
        <is>
          <t>ORUST</t>
        </is>
      </c>
      <c r="G648" t="n">
        <v>3.3</v>
      </c>
      <c r="H648" t="n">
        <v>0</v>
      </c>
      <c r="I648" t="n">
        <v>1</v>
      </c>
      <c r="J648" t="n">
        <v>0</v>
      </c>
      <c r="K648" t="n">
        <v>0</v>
      </c>
      <c r="L648" t="n">
        <v>0</v>
      </c>
      <c r="M648" t="n">
        <v>0</v>
      </c>
      <c r="N648" t="n">
        <v>0</v>
      </c>
      <c r="O648" t="n">
        <v>0</v>
      </c>
      <c r="P648" t="n">
        <v>0</v>
      </c>
      <c r="Q648" t="n">
        <v>1</v>
      </c>
      <c r="R648" s="2" t="inlineStr">
        <is>
          <t>Grönpyrola</t>
        </is>
      </c>
      <c r="S648">
        <f>HYPERLINK("https://klasma.github.io/Logging_1421/artfynd/A 41056-2025 artfynd.xlsx", "A 41056-2025")</f>
        <v/>
      </c>
      <c r="T648">
        <f>HYPERLINK("https://klasma.github.io/Logging_1421/kartor/A 41056-2025 karta.png", "A 41056-2025")</f>
        <v/>
      </c>
      <c r="V648">
        <f>HYPERLINK("https://klasma.github.io/Logging_1421/klagomål/A 41056-2025 FSC-klagomål.docx", "A 41056-2025")</f>
        <v/>
      </c>
      <c r="W648">
        <f>HYPERLINK("https://klasma.github.io/Logging_1421/klagomålsmail/A 41056-2025 FSC-klagomål mail.docx", "A 41056-2025")</f>
        <v/>
      </c>
      <c r="X648">
        <f>HYPERLINK("https://klasma.github.io/Logging_1421/tillsyn/A 41056-2025 tillsynsbegäran.docx", "A 41056-2025")</f>
        <v/>
      </c>
      <c r="Y648">
        <f>HYPERLINK("https://klasma.github.io/Logging_1421/tillsynsmail/A 41056-2025 tillsynsbegäran mail.docx", "A 41056-2025")</f>
        <v/>
      </c>
    </row>
    <row r="649" ht="15" customHeight="1">
      <c r="A649" t="inlineStr">
        <is>
          <t>A 62524-2025</t>
        </is>
      </c>
      <c r="B649" s="1" t="n">
        <v>46007.6247337963</v>
      </c>
      <c r="C649" s="1" t="n">
        <v>46011</v>
      </c>
      <c r="D649" t="inlineStr">
        <is>
          <t>VÄSTRA GÖTALANDS LÄN</t>
        </is>
      </c>
      <c r="E649" t="inlineStr">
        <is>
          <t>ALE</t>
        </is>
      </c>
      <c r="G649" t="n">
        <v>8</v>
      </c>
      <c r="H649" t="n">
        <v>1</v>
      </c>
      <c r="I649" t="n">
        <v>0</v>
      </c>
      <c r="J649" t="n">
        <v>0</v>
      </c>
      <c r="K649" t="n">
        <v>0</v>
      </c>
      <c r="L649" t="n">
        <v>0</v>
      </c>
      <c r="M649" t="n">
        <v>0</v>
      </c>
      <c r="N649" t="n">
        <v>0</v>
      </c>
      <c r="O649" t="n">
        <v>0</v>
      </c>
      <c r="P649" t="n">
        <v>0</v>
      </c>
      <c r="Q649" t="n">
        <v>1</v>
      </c>
      <c r="R649" s="2" t="inlineStr">
        <is>
          <t>Revlummer</t>
        </is>
      </c>
      <c r="S649">
        <f>HYPERLINK("https://klasma.github.io/Logging_1440/artfynd/A 62524-2025 artfynd.xlsx", "A 62524-2025")</f>
        <v/>
      </c>
      <c r="T649">
        <f>HYPERLINK("https://klasma.github.io/Logging_1440/kartor/A 62524-2025 karta.png", "A 62524-2025")</f>
        <v/>
      </c>
      <c r="V649">
        <f>HYPERLINK("https://klasma.github.io/Logging_1440/klagomål/A 62524-2025 FSC-klagomål.docx", "A 62524-2025")</f>
        <v/>
      </c>
      <c r="W649">
        <f>HYPERLINK("https://klasma.github.io/Logging_1440/klagomålsmail/A 62524-2025 FSC-klagomål mail.docx", "A 62524-2025")</f>
        <v/>
      </c>
      <c r="X649">
        <f>HYPERLINK("https://klasma.github.io/Logging_1440/tillsyn/A 62524-2025 tillsynsbegäran.docx", "A 62524-2025")</f>
        <v/>
      </c>
      <c r="Y649">
        <f>HYPERLINK("https://klasma.github.io/Logging_1440/tillsynsmail/A 62524-2025 tillsynsbegäran mail.docx", "A 62524-2025")</f>
        <v/>
      </c>
    </row>
    <row r="650" ht="15" customHeight="1">
      <c r="A650" t="inlineStr">
        <is>
          <t>A 14220-2024</t>
        </is>
      </c>
      <c r="B650" s="1" t="n">
        <v>45393.45601851852</v>
      </c>
      <c r="C650" s="1" t="n">
        <v>46011</v>
      </c>
      <c r="D650" t="inlineStr">
        <is>
          <t>VÄSTRA GÖTALANDS LÄN</t>
        </is>
      </c>
      <c r="E650" t="inlineStr">
        <is>
          <t>BORÅS</t>
        </is>
      </c>
      <c r="F650" t="inlineStr">
        <is>
          <t>Sveaskog</t>
        </is>
      </c>
      <c r="G650" t="n">
        <v>8</v>
      </c>
      <c r="H650" t="n">
        <v>1</v>
      </c>
      <c r="I650" t="n">
        <v>0</v>
      </c>
      <c r="J650" t="n">
        <v>0</v>
      </c>
      <c r="K650" t="n">
        <v>0</v>
      </c>
      <c r="L650" t="n">
        <v>0</v>
      </c>
      <c r="M650" t="n">
        <v>0</v>
      </c>
      <c r="N650" t="n">
        <v>0</v>
      </c>
      <c r="O650" t="n">
        <v>0</v>
      </c>
      <c r="P650" t="n">
        <v>0</v>
      </c>
      <c r="Q650" t="n">
        <v>1</v>
      </c>
      <c r="R650" s="2" t="inlineStr">
        <is>
          <t>Revlummer</t>
        </is>
      </c>
      <c r="S650">
        <f>HYPERLINK("https://klasma.github.io/Logging_1490/artfynd/A 14220-2024 artfynd.xlsx", "A 14220-2024")</f>
        <v/>
      </c>
      <c r="T650">
        <f>HYPERLINK("https://klasma.github.io/Logging_1490/kartor/A 14220-2024 karta.png", "A 14220-2024")</f>
        <v/>
      </c>
      <c r="V650">
        <f>HYPERLINK("https://klasma.github.io/Logging_1490/klagomål/A 14220-2024 FSC-klagomål.docx", "A 14220-2024")</f>
        <v/>
      </c>
      <c r="W650">
        <f>HYPERLINK("https://klasma.github.io/Logging_1490/klagomålsmail/A 14220-2024 FSC-klagomål mail.docx", "A 14220-2024")</f>
        <v/>
      </c>
      <c r="X650">
        <f>HYPERLINK("https://klasma.github.io/Logging_1490/tillsyn/A 14220-2024 tillsynsbegäran.docx", "A 14220-2024")</f>
        <v/>
      </c>
      <c r="Y650">
        <f>HYPERLINK("https://klasma.github.io/Logging_1490/tillsynsmail/A 14220-2024 tillsynsbegäran mail.docx", "A 14220-2024")</f>
        <v/>
      </c>
    </row>
    <row r="651" ht="15" customHeight="1">
      <c r="A651" t="inlineStr">
        <is>
          <t>A 7062-2024</t>
        </is>
      </c>
      <c r="B651" s="1" t="n">
        <v>45343</v>
      </c>
      <c r="C651" s="1" t="n">
        <v>46011</v>
      </c>
      <c r="D651" t="inlineStr">
        <is>
          <t>VÄSTRA GÖTALANDS LÄN</t>
        </is>
      </c>
      <c r="E651" t="inlineStr">
        <is>
          <t>LILLA EDET</t>
        </is>
      </c>
      <c r="G651" t="n">
        <v>9.1</v>
      </c>
      <c r="H651" t="n">
        <v>1</v>
      </c>
      <c r="I651" t="n">
        <v>0</v>
      </c>
      <c r="J651" t="n">
        <v>0</v>
      </c>
      <c r="K651" t="n">
        <v>0</v>
      </c>
      <c r="L651" t="n">
        <v>0</v>
      </c>
      <c r="M651" t="n">
        <v>0</v>
      </c>
      <c r="N651" t="n">
        <v>0</v>
      </c>
      <c r="O651" t="n">
        <v>0</v>
      </c>
      <c r="P651" t="n">
        <v>0</v>
      </c>
      <c r="Q651" t="n">
        <v>1</v>
      </c>
      <c r="R651" s="2" t="inlineStr">
        <is>
          <t>Revlummer</t>
        </is>
      </c>
      <c r="S651">
        <f>HYPERLINK("https://klasma.github.io/Logging_1462/artfynd/A 7062-2024 artfynd.xlsx", "A 7062-2024")</f>
        <v/>
      </c>
      <c r="T651">
        <f>HYPERLINK("https://klasma.github.io/Logging_1462/kartor/A 7062-2024 karta.png", "A 7062-2024")</f>
        <v/>
      </c>
      <c r="V651">
        <f>HYPERLINK("https://klasma.github.io/Logging_1462/klagomål/A 7062-2024 FSC-klagomål.docx", "A 7062-2024")</f>
        <v/>
      </c>
      <c r="W651">
        <f>HYPERLINK("https://klasma.github.io/Logging_1462/klagomålsmail/A 7062-2024 FSC-klagomål mail.docx", "A 7062-2024")</f>
        <v/>
      </c>
      <c r="X651">
        <f>HYPERLINK("https://klasma.github.io/Logging_1462/tillsyn/A 7062-2024 tillsynsbegäran.docx", "A 7062-2024")</f>
        <v/>
      </c>
      <c r="Y651">
        <f>HYPERLINK("https://klasma.github.io/Logging_1462/tillsynsmail/A 7062-2024 tillsynsbegäran mail.docx", "A 7062-2024")</f>
        <v/>
      </c>
    </row>
    <row r="652" ht="15" customHeight="1">
      <c r="A652" t="inlineStr">
        <is>
          <t>A 58944-2025</t>
        </is>
      </c>
      <c r="B652" s="1" t="n">
        <v>45987.57861111111</v>
      </c>
      <c r="C652" s="1" t="n">
        <v>46011</v>
      </c>
      <c r="D652" t="inlineStr">
        <is>
          <t>VÄSTRA GÖTALANDS LÄN</t>
        </is>
      </c>
      <c r="E652" t="inlineStr">
        <is>
          <t>ORUST</t>
        </is>
      </c>
      <c r="G652" t="n">
        <v>8.4</v>
      </c>
      <c r="H652" t="n">
        <v>1</v>
      </c>
      <c r="I652" t="n">
        <v>0</v>
      </c>
      <c r="J652" t="n">
        <v>0</v>
      </c>
      <c r="K652" t="n">
        <v>1</v>
      </c>
      <c r="L652" t="n">
        <v>0</v>
      </c>
      <c r="M652" t="n">
        <v>0</v>
      </c>
      <c r="N652" t="n">
        <v>0</v>
      </c>
      <c r="O652" t="n">
        <v>1</v>
      </c>
      <c r="P652" t="n">
        <v>1</v>
      </c>
      <c r="Q652" t="n">
        <v>1</v>
      </c>
      <c r="R652" s="2" t="inlineStr">
        <is>
          <t>Knärot</t>
        </is>
      </c>
      <c r="S652">
        <f>HYPERLINK("https://klasma.github.io/Logging_1421/artfynd/A 58944-2025 artfynd.xlsx", "A 58944-2025")</f>
        <v/>
      </c>
      <c r="T652">
        <f>HYPERLINK("https://klasma.github.io/Logging_1421/kartor/A 58944-2025 karta.png", "A 58944-2025")</f>
        <v/>
      </c>
      <c r="U652">
        <f>HYPERLINK("https://klasma.github.io/Logging_1421/knärot/A 58944-2025 karta knärot.png", "A 58944-2025")</f>
        <v/>
      </c>
      <c r="V652">
        <f>HYPERLINK("https://klasma.github.io/Logging_1421/klagomål/A 58944-2025 FSC-klagomål.docx", "A 58944-2025")</f>
        <v/>
      </c>
      <c r="W652">
        <f>HYPERLINK("https://klasma.github.io/Logging_1421/klagomålsmail/A 58944-2025 FSC-klagomål mail.docx", "A 58944-2025")</f>
        <v/>
      </c>
      <c r="X652">
        <f>HYPERLINK("https://klasma.github.io/Logging_1421/tillsyn/A 58944-2025 tillsynsbegäran.docx", "A 58944-2025")</f>
        <v/>
      </c>
      <c r="Y652">
        <f>HYPERLINK("https://klasma.github.io/Logging_1421/tillsynsmail/A 58944-2025 tillsynsbegäran mail.docx", "A 58944-2025")</f>
        <v/>
      </c>
    </row>
    <row r="653" ht="15" customHeight="1">
      <c r="A653" t="inlineStr">
        <is>
          <t>A 8055-2024</t>
        </is>
      </c>
      <c r="B653" s="1" t="n">
        <v>45351</v>
      </c>
      <c r="C653" s="1" t="n">
        <v>46011</v>
      </c>
      <c r="D653" t="inlineStr">
        <is>
          <t>VÄSTRA GÖTALANDS LÄN</t>
        </is>
      </c>
      <c r="E653" t="inlineStr">
        <is>
          <t>ULRICEHAMN</t>
        </is>
      </c>
      <c r="G653" t="n">
        <v>2.9</v>
      </c>
      <c r="H653" t="n">
        <v>1</v>
      </c>
      <c r="I653" t="n">
        <v>0</v>
      </c>
      <c r="J653" t="n">
        <v>0</v>
      </c>
      <c r="K653" t="n">
        <v>0</v>
      </c>
      <c r="L653" t="n">
        <v>0</v>
      </c>
      <c r="M653" t="n">
        <v>0</v>
      </c>
      <c r="N653" t="n">
        <v>0</v>
      </c>
      <c r="O653" t="n">
        <v>0</v>
      </c>
      <c r="P653" t="n">
        <v>0</v>
      </c>
      <c r="Q653" t="n">
        <v>1</v>
      </c>
      <c r="R653" s="2" t="inlineStr">
        <is>
          <t>Hasselmus</t>
        </is>
      </c>
      <c r="S653">
        <f>HYPERLINK("https://klasma.github.io/Logging_1491/artfynd/A 8055-2024 artfynd.xlsx", "A 8055-2024")</f>
        <v/>
      </c>
      <c r="T653">
        <f>HYPERLINK("https://klasma.github.io/Logging_1491/kartor/A 8055-2024 karta.png", "A 8055-2024")</f>
        <v/>
      </c>
      <c r="V653">
        <f>HYPERLINK("https://klasma.github.io/Logging_1491/klagomål/A 8055-2024 FSC-klagomål.docx", "A 8055-2024")</f>
        <v/>
      </c>
      <c r="W653">
        <f>HYPERLINK("https://klasma.github.io/Logging_1491/klagomålsmail/A 8055-2024 FSC-klagomål mail.docx", "A 8055-2024")</f>
        <v/>
      </c>
      <c r="X653">
        <f>HYPERLINK("https://klasma.github.io/Logging_1491/tillsyn/A 8055-2024 tillsynsbegäran.docx", "A 8055-2024")</f>
        <v/>
      </c>
      <c r="Y653">
        <f>HYPERLINK("https://klasma.github.io/Logging_1491/tillsynsmail/A 8055-2024 tillsynsbegäran mail.docx", "A 8055-2024")</f>
        <v/>
      </c>
    </row>
    <row r="654" ht="15" customHeight="1">
      <c r="A654" t="inlineStr">
        <is>
          <t>A 60355-2023</t>
        </is>
      </c>
      <c r="B654" s="1" t="n">
        <v>45259</v>
      </c>
      <c r="C654" s="1" t="n">
        <v>46011</v>
      </c>
      <c r="D654" t="inlineStr">
        <is>
          <t>VÄSTRA GÖTALANDS LÄN</t>
        </is>
      </c>
      <c r="E654" t="inlineStr">
        <is>
          <t>TANUM</t>
        </is>
      </c>
      <c r="G654" t="n">
        <v>8.300000000000001</v>
      </c>
      <c r="H654" t="n">
        <v>1</v>
      </c>
      <c r="I654" t="n">
        <v>0</v>
      </c>
      <c r="J654" t="n">
        <v>0</v>
      </c>
      <c r="K654" t="n">
        <v>0</v>
      </c>
      <c r="L654" t="n">
        <v>0</v>
      </c>
      <c r="M654" t="n">
        <v>0</v>
      </c>
      <c r="N654" t="n">
        <v>0</v>
      </c>
      <c r="O654" t="n">
        <v>0</v>
      </c>
      <c r="P654" t="n">
        <v>0</v>
      </c>
      <c r="Q654" t="n">
        <v>1</v>
      </c>
      <c r="R654" s="2" t="inlineStr">
        <is>
          <t>Blåsippa</t>
        </is>
      </c>
      <c r="S654">
        <f>HYPERLINK("https://klasma.github.io/Logging_1435/artfynd/A 60355-2023 artfynd.xlsx", "A 60355-2023")</f>
        <v/>
      </c>
      <c r="T654">
        <f>HYPERLINK("https://klasma.github.io/Logging_1435/kartor/A 60355-2023 karta.png", "A 60355-2023")</f>
        <v/>
      </c>
      <c r="V654">
        <f>HYPERLINK("https://klasma.github.io/Logging_1435/klagomål/A 60355-2023 FSC-klagomål.docx", "A 60355-2023")</f>
        <v/>
      </c>
      <c r="W654">
        <f>HYPERLINK("https://klasma.github.io/Logging_1435/klagomålsmail/A 60355-2023 FSC-klagomål mail.docx", "A 60355-2023")</f>
        <v/>
      </c>
      <c r="X654">
        <f>HYPERLINK("https://klasma.github.io/Logging_1435/tillsyn/A 60355-2023 tillsynsbegäran.docx", "A 60355-2023")</f>
        <v/>
      </c>
      <c r="Y654">
        <f>HYPERLINK("https://klasma.github.io/Logging_1435/tillsynsmail/A 60355-2023 tillsynsbegäran mail.docx", "A 60355-2023")</f>
        <v/>
      </c>
    </row>
    <row r="655" ht="15" customHeight="1">
      <c r="A655" t="inlineStr">
        <is>
          <t>A 55118-2025</t>
        </is>
      </c>
      <c r="B655" s="1" t="n">
        <v>45967</v>
      </c>
      <c r="C655" s="1" t="n">
        <v>46011</v>
      </c>
      <c r="D655" t="inlineStr">
        <is>
          <t>VÄSTRA GÖTALANDS LÄN</t>
        </is>
      </c>
      <c r="E655" t="inlineStr">
        <is>
          <t>ÅMÅL</t>
        </is>
      </c>
      <c r="G655" t="n">
        <v>1.6</v>
      </c>
      <c r="H655" t="n">
        <v>0</v>
      </c>
      <c r="I655" t="n">
        <v>0</v>
      </c>
      <c r="J655" t="n">
        <v>1</v>
      </c>
      <c r="K655" t="n">
        <v>0</v>
      </c>
      <c r="L655" t="n">
        <v>0</v>
      </c>
      <c r="M655" t="n">
        <v>0</v>
      </c>
      <c r="N655" t="n">
        <v>0</v>
      </c>
      <c r="O655" t="n">
        <v>1</v>
      </c>
      <c r="P655" t="n">
        <v>0</v>
      </c>
      <c r="Q655" t="n">
        <v>1</v>
      </c>
      <c r="R655" s="2" t="inlineStr">
        <is>
          <t>Luddfingersvamp</t>
        </is>
      </c>
      <c r="S655">
        <f>HYPERLINK("https://klasma.github.io/Logging_1492/artfynd/A 55118-2025 artfynd.xlsx", "A 55118-2025")</f>
        <v/>
      </c>
      <c r="T655">
        <f>HYPERLINK("https://klasma.github.io/Logging_1492/kartor/A 55118-2025 karta.png", "A 55118-2025")</f>
        <v/>
      </c>
      <c r="V655">
        <f>HYPERLINK("https://klasma.github.io/Logging_1492/klagomål/A 55118-2025 FSC-klagomål.docx", "A 55118-2025")</f>
        <v/>
      </c>
      <c r="W655">
        <f>HYPERLINK("https://klasma.github.io/Logging_1492/klagomålsmail/A 55118-2025 FSC-klagomål mail.docx", "A 55118-2025")</f>
        <v/>
      </c>
      <c r="X655">
        <f>HYPERLINK("https://klasma.github.io/Logging_1492/tillsyn/A 55118-2025 tillsynsbegäran.docx", "A 55118-2025")</f>
        <v/>
      </c>
      <c r="Y655">
        <f>HYPERLINK("https://klasma.github.io/Logging_1492/tillsynsmail/A 55118-2025 tillsynsbegäran mail.docx", "A 55118-2025")</f>
        <v/>
      </c>
    </row>
    <row r="656" ht="15" customHeight="1">
      <c r="A656" t="inlineStr">
        <is>
          <t>A 49233-2023</t>
        </is>
      </c>
      <c r="B656" s="1" t="n">
        <v>45210</v>
      </c>
      <c r="C656" s="1" t="n">
        <v>46011</v>
      </c>
      <c r="D656" t="inlineStr">
        <is>
          <t>VÄSTRA GÖTALANDS LÄN</t>
        </is>
      </c>
      <c r="E656" t="inlineStr">
        <is>
          <t>MARIESTAD</t>
        </is>
      </c>
      <c r="G656" t="n">
        <v>6.1</v>
      </c>
      <c r="H656" t="n">
        <v>0</v>
      </c>
      <c r="I656" t="n">
        <v>1</v>
      </c>
      <c r="J656" t="n">
        <v>0</v>
      </c>
      <c r="K656" t="n">
        <v>0</v>
      </c>
      <c r="L656" t="n">
        <v>0</v>
      </c>
      <c r="M656" t="n">
        <v>0</v>
      </c>
      <c r="N656" t="n">
        <v>0</v>
      </c>
      <c r="O656" t="n">
        <v>0</v>
      </c>
      <c r="P656" t="n">
        <v>0</v>
      </c>
      <c r="Q656" t="n">
        <v>1</v>
      </c>
      <c r="R656" s="2" t="inlineStr">
        <is>
          <t>Lönnlav</t>
        </is>
      </c>
      <c r="S656">
        <f>HYPERLINK("https://klasma.github.io/Logging_1493/artfynd/A 49233-2023 artfynd.xlsx", "A 49233-2023")</f>
        <v/>
      </c>
      <c r="T656">
        <f>HYPERLINK("https://klasma.github.io/Logging_1493/kartor/A 49233-2023 karta.png", "A 49233-2023")</f>
        <v/>
      </c>
      <c r="V656">
        <f>HYPERLINK("https://klasma.github.io/Logging_1493/klagomål/A 49233-2023 FSC-klagomål.docx", "A 49233-2023")</f>
        <v/>
      </c>
      <c r="W656">
        <f>HYPERLINK("https://klasma.github.io/Logging_1493/klagomålsmail/A 49233-2023 FSC-klagomål mail.docx", "A 49233-2023")</f>
        <v/>
      </c>
      <c r="X656">
        <f>HYPERLINK("https://klasma.github.io/Logging_1493/tillsyn/A 49233-2023 tillsynsbegäran.docx", "A 49233-2023")</f>
        <v/>
      </c>
      <c r="Y656">
        <f>HYPERLINK("https://klasma.github.io/Logging_1493/tillsynsmail/A 49233-2023 tillsynsbegäran mail.docx", "A 49233-2023")</f>
        <v/>
      </c>
    </row>
    <row r="657" ht="15" customHeight="1">
      <c r="A657" t="inlineStr">
        <is>
          <t>A 30653-2023</t>
        </is>
      </c>
      <c r="B657" s="1" t="n">
        <v>45112</v>
      </c>
      <c r="C657" s="1" t="n">
        <v>46011</v>
      </c>
      <c r="D657" t="inlineStr">
        <is>
          <t>VÄSTRA GÖTALANDS LÄN</t>
        </is>
      </c>
      <c r="E657" t="inlineStr">
        <is>
          <t>BOLLEBYGD</t>
        </is>
      </c>
      <c r="G657" t="n">
        <v>3</v>
      </c>
      <c r="H657" t="n">
        <v>1</v>
      </c>
      <c r="I657" t="n">
        <v>0</v>
      </c>
      <c r="J657" t="n">
        <v>0</v>
      </c>
      <c r="K657" t="n">
        <v>0</v>
      </c>
      <c r="L657" t="n">
        <v>0</v>
      </c>
      <c r="M657" t="n">
        <v>0</v>
      </c>
      <c r="N657" t="n">
        <v>0</v>
      </c>
      <c r="O657" t="n">
        <v>0</v>
      </c>
      <c r="P657" t="n">
        <v>0</v>
      </c>
      <c r="Q657" t="n">
        <v>1</v>
      </c>
      <c r="R657" s="2" t="inlineStr">
        <is>
          <t>Tjäder</t>
        </is>
      </c>
      <c r="S657">
        <f>HYPERLINK("https://klasma.github.io/Logging_1443/artfynd/A 30653-2023 artfynd.xlsx", "A 30653-2023")</f>
        <v/>
      </c>
      <c r="T657">
        <f>HYPERLINK("https://klasma.github.io/Logging_1443/kartor/A 30653-2023 karta.png", "A 30653-2023")</f>
        <v/>
      </c>
      <c r="V657">
        <f>HYPERLINK("https://klasma.github.io/Logging_1443/klagomål/A 30653-2023 FSC-klagomål.docx", "A 30653-2023")</f>
        <v/>
      </c>
      <c r="W657">
        <f>HYPERLINK("https://klasma.github.io/Logging_1443/klagomålsmail/A 30653-2023 FSC-klagomål mail.docx", "A 30653-2023")</f>
        <v/>
      </c>
      <c r="X657">
        <f>HYPERLINK("https://klasma.github.io/Logging_1443/tillsyn/A 30653-2023 tillsynsbegäran.docx", "A 30653-2023")</f>
        <v/>
      </c>
      <c r="Y657">
        <f>HYPERLINK("https://klasma.github.io/Logging_1443/tillsynsmail/A 30653-2023 tillsynsbegäran mail.docx", "A 30653-2023")</f>
        <v/>
      </c>
      <c r="Z657">
        <f>HYPERLINK("https://klasma.github.io/Logging_1443/fåglar/A 30653-2023 prioriterade fågelarter.docx", "A 30653-2023")</f>
        <v/>
      </c>
    </row>
    <row r="658" ht="15" customHeight="1">
      <c r="A658" t="inlineStr">
        <is>
          <t>A 30662-2023</t>
        </is>
      </c>
      <c r="B658" s="1" t="n">
        <v>45112</v>
      </c>
      <c r="C658" s="1" t="n">
        <v>46011</v>
      </c>
      <c r="D658" t="inlineStr">
        <is>
          <t>VÄSTRA GÖTALANDS LÄN</t>
        </is>
      </c>
      <c r="E658" t="inlineStr">
        <is>
          <t>BOLLEBYGD</t>
        </is>
      </c>
      <c r="G658" t="n">
        <v>2.7</v>
      </c>
      <c r="H658" t="n">
        <v>1</v>
      </c>
      <c r="I658" t="n">
        <v>0</v>
      </c>
      <c r="J658" t="n">
        <v>1</v>
      </c>
      <c r="K658" t="n">
        <v>0</v>
      </c>
      <c r="L658" t="n">
        <v>0</v>
      </c>
      <c r="M658" t="n">
        <v>0</v>
      </c>
      <c r="N658" t="n">
        <v>0</v>
      </c>
      <c r="O658" t="n">
        <v>1</v>
      </c>
      <c r="P658" t="n">
        <v>0</v>
      </c>
      <c r="Q658" t="n">
        <v>1</v>
      </c>
      <c r="R658" s="2" t="inlineStr">
        <is>
          <t>Svartvit flugsnappare</t>
        </is>
      </c>
      <c r="S658">
        <f>HYPERLINK("https://klasma.github.io/Logging_1443/artfynd/A 30662-2023 artfynd.xlsx", "A 30662-2023")</f>
        <v/>
      </c>
      <c r="T658">
        <f>HYPERLINK("https://klasma.github.io/Logging_1443/kartor/A 30662-2023 karta.png", "A 30662-2023")</f>
        <v/>
      </c>
      <c r="V658">
        <f>HYPERLINK("https://klasma.github.io/Logging_1443/klagomål/A 30662-2023 FSC-klagomål.docx", "A 30662-2023")</f>
        <v/>
      </c>
      <c r="W658">
        <f>HYPERLINK("https://klasma.github.io/Logging_1443/klagomålsmail/A 30662-2023 FSC-klagomål mail.docx", "A 30662-2023")</f>
        <v/>
      </c>
      <c r="X658">
        <f>HYPERLINK("https://klasma.github.io/Logging_1443/tillsyn/A 30662-2023 tillsynsbegäran.docx", "A 30662-2023")</f>
        <v/>
      </c>
      <c r="Y658">
        <f>HYPERLINK("https://klasma.github.io/Logging_1443/tillsynsmail/A 30662-2023 tillsynsbegäran mail.docx", "A 30662-2023")</f>
        <v/>
      </c>
      <c r="Z658">
        <f>HYPERLINK("https://klasma.github.io/Logging_1443/fåglar/A 30662-2023 prioriterade fågelarter.docx", "A 30662-2023")</f>
        <v/>
      </c>
    </row>
    <row r="659" ht="15" customHeight="1">
      <c r="A659" t="inlineStr">
        <is>
          <t>A 5807-2024</t>
        </is>
      </c>
      <c r="B659" s="1" t="n">
        <v>45335</v>
      </c>
      <c r="C659" s="1" t="n">
        <v>46011</v>
      </c>
      <c r="D659" t="inlineStr">
        <is>
          <t>VÄSTRA GÖTALANDS LÄN</t>
        </is>
      </c>
      <c r="E659" t="inlineStr">
        <is>
          <t>FALKÖPING</t>
        </is>
      </c>
      <c r="G659" t="n">
        <v>3.9</v>
      </c>
      <c r="H659" t="n">
        <v>1</v>
      </c>
      <c r="I659" t="n">
        <v>0</v>
      </c>
      <c r="J659" t="n">
        <v>1</v>
      </c>
      <c r="K659" t="n">
        <v>0</v>
      </c>
      <c r="L659" t="n">
        <v>0</v>
      </c>
      <c r="M659" t="n">
        <v>0</v>
      </c>
      <c r="N659" t="n">
        <v>0</v>
      </c>
      <c r="O659" t="n">
        <v>1</v>
      </c>
      <c r="P659" t="n">
        <v>0</v>
      </c>
      <c r="Q659" t="n">
        <v>1</v>
      </c>
      <c r="R659" s="2" t="inlineStr">
        <is>
          <t>Duvhök</t>
        </is>
      </c>
      <c r="S659">
        <f>HYPERLINK("https://klasma.github.io/Logging_1499/artfynd/A 5807-2024 artfynd.xlsx", "A 5807-2024")</f>
        <v/>
      </c>
      <c r="T659">
        <f>HYPERLINK("https://klasma.github.io/Logging_1499/kartor/A 5807-2024 karta.png", "A 5807-2024")</f>
        <v/>
      </c>
      <c r="V659">
        <f>HYPERLINK("https://klasma.github.io/Logging_1499/klagomål/A 5807-2024 FSC-klagomål.docx", "A 5807-2024")</f>
        <v/>
      </c>
      <c r="W659">
        <f>HYPERLINK("https://klasma.github.io/Logging_1499/klagomålsmail/A 5807-2024 FSC-klagomål mail.docx", "A 5807-2024")</f>
        <v/>
      </c>
      <c r="X659">
        <f>HYPERLINK("https://klasma.github.io/Logging_1499/tillsyn/A 5807-2024 tillsynsbegäran.docx", "A 5807-2024")</f>
        <v/>
      </c>
      <c r="Y659">
        <f>HYPERLINK("https://klasma.github.io/Logging_1499/tillsynsmail/A 5807-2024 tillsynsbegäran mail.docx", "A 5807-2024")</f>
        <v/>
      </c>
      <c r="Z659">
        <f>HYPERLINK("https://klasma.github.io/Logging_1499/fåglar/A 5807-2024 prioriterade fågelarter.docx", "A 5807-2024")</f>
        <v/>
      </c>
    </row>
    <row r="660" ht="15" customHeight="1">
      <c r="A660" t="inlineStr">
        <is>
          <t>A 61156-2025</t>
        </is>
      </c>
      <c r="B660" s="1" t="n">
        <v>45999</v>
      </c>
      <c r="C660" s="1" t="n">
        <v>46011</v>
      </c>
      <c r="D660" t="inlineStr">
        <is>
          <t>VÄSTRA GÖTALANDS LÄN</t>
        </is>
      </c>
      <c r="E660" t="inlineStr">
        <is>
          <t>ÅMÅL</t>
        </is>
      </c>
      <c r="F660" t="inlineStr">
        <is>
          <t>Bergvik skog väst AB</t>
        </is>
      </c>
      <c r="G660" t="n">
        <v>4.4</v>
      </c>
      <c r="H660" t="n">
        <v>0</v>
      </c>
      <c r="I660" t="n">
        <v>0</v>
      </c>
      <c r="J660" t="n">
        <v>1</v>
      </c>
      <c r="K660" t="n">
        <v>0</v>
      </c>
      <c r="L660" t="n">
        <v>0</v>
      </c>
      <c r="M660" t="n">
        <v>0</v>
      </c>
      <c r="N660" t="n">
        <v>0</v>
      </c>
      <c r="O660" t="n">
        <v>1</v>
      </c>
      <c r="P660" t="n">
        <v>0</v>
      </c>
      <c r="Q660" t="n">
        <v>1</v>
      </c>
      <c r="R660" s="2" t="inlineStr">
        <is>
          <t>Skogssvingel</t>
        </is>
      </c>
      <c r="S660">
        <f>HYPERLINK("https://klasma.github.io/Logging_1492/artfynd/A 61156-2025 artfynd.xlsx", "A 61156-2025")</f>
        <v/>
      </c>
      <c r="T660">
        <f>HYPERLINK("https://klasma.github.io/Logging_1492/kartor/A 61156-2025 karta.png", "A 61156-2025")</f>
        <v/>
      </c>
      <c r="V660">
        <f>HYPERLINK("https://klasma.github.io/Logging_1492/klagomål/A 61156-2025 FSC-klagomål.docx", "A 61156-2025")</f>
        <v/>
      </c>
      <c r="W660">
        <f>HYPERLINK("https://klasma.github.io/Logging_1492/klagomålsmail/A 61156-2025 FSC-klagomål mail.docx", "A 61156-2025")</f>
        <v/>
      </c>
      <c r="X660">
        <f>HYPERLINK("https://klasma.github.io/Logging_1492/tillsyn/A 61156-2025 tillsynsbegäran.docx", "A 61156-2025")</f>
        <v/>
      </c>
      <c r="Y660">
        <f>HYPERLINK("https://klasma.github.io/Logging_1492/tillsynsmail/A 61156-2025 tillsynsbegäran mail.docx", "A 61156-2025")</f>
        <v/>
      </c>
    </row>
    <row r="661" ht="15" customHeight="1">
      <c r="A661" t="inlineStr">
        <is>
          <t>A 3247-2023</t>
        </is>
      </c>
      <c r="B661" s="1" t="n">
        <v>44947</v>
      </c>
      <c r="C661" s="1" t="n">
        <v>46011</v>
      </c>
      <c r="D661" t="inlineStr">
        <is>
          <t>VÄSTRA GÖTALANDS LÄN</t>
        </is>
      </c>
      <c r="E661" t="inlineStr">
        <is>
          <t>TRANEMO</t>
        </is>
      </c>
      <c r="G661" t="n">
        <v>7.3</v>
      </c>
      <c r="H661" t="n">
        <v>1</v>
      </c>
      <c r="I661" t="n">
        <v>0</v>
      </c>
      <c r="J661" t="n">
        <v>0</v>
      </c>
      <c r="K661" t="n">
        <v>0</v>
      </c>
      <c r="L661" t="n">
        <v>0</v>
      </c>
      <c r="M661" t="n">
        <v>0</v>
      </c>
      <c r="N661" t="n">
        <v>0</v>
      </c>
      <c r="O661" t="n">
        <v>0</v>
      </c>
      <c r="P661" t="n">
        <v>0</v>
      </c>
      <c r="Q661" t="n">
        <v>1</v>
      </c>
      <c r="R661" s="2" t="inlineStr">
        <is>
          <t>Äkta lopplummer</t>
        </is>
      </c>
      <c r="S661">
        <f>HYPERLINK("https://klasma.github.io/Logging_1452/artfynd/A 3247-2023 artfynd.xlsx", "A 3247-2023")</f>
        <v/>
      </c>
      <c r="T661">
        <f>HYPERLINK("https://klasma.github.io/Logging_1452/kartor/A 3247-2023 karta.png", "A 3247-2023")</f>
        <v/>
      </c>
      <c r="V661">
        <f>HYPERLINK("https://klasma.github.io/Logging_1452/klagomål/A 3247-2023 FSC-klagomål.docx", "A 3247-2023")</f>
        <v/>
      </c>
      <c r="W661">
        <f>HYPERLINK("https://klasma.github.io/Logging_1452/klagomålsmail/A 3247-2023 FSC-klagomål mail.docx", "A 3247-2023")</f>
        <v/>
      </c>
      <c r="X661">
        <f>HYPERLINK("https://klasma.github.io/Logging_1452/tillsyn/A 3247-2023 tillsynsbegäran.docx", "A 3247-2023")</f>
        <v/>
      </c>
      <c r="Y661">
        <f>HYPERLINK("https://klasma.github.io/Logging_1452/tillsynsmail/A 3247-2023 tillsynsbegäran mail.docx", "A 3247-2023")</f>
        <v/>
      </c>
    </row>
    <row r="662" ht="15" customHeight="1">
      <c r="A662" t="inlineStr">
        <is>
          <t>A 27182-2023</t>
        </is>
      </c>
      <c r="B662" s="1" t="n">
        <v>45096</v>
      </c>
      <c r="C662" s="1" t="n">
        <v>46011</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10602-2023</t>
        </is>
      </c>
      <c r="B663" s="1" t="n">
        <v>44988.39806712963</v>
      </c>
      <c r="C663" s="1" t="n">
        <v>46011</v>
      </c>
      <c r="D663" t="inlineStr">
        <is>
          <t>VÄSTRA GÖTALANDS LÄN</t>
        </is>
      </c>
      <c r="E663" t="inlineStr">
        <is>
          <t>SKÖVDE</t>
        </is>
      </c>
      <c r="G663" t="n">
        <v>0.8</v>
      </c>
      <c r="H663" t="n">
        <v>0</v>
      </c>
      <c r="I663" t="n">
        <v>0</v>
      </c>
      <c r="J663" t="n">
        <v>0</v>
      </c>
      <c r="K663" t="n">
        <v>0</v>
      </c>
      <c r="L663" t="n">
        <v>1</v>
      </c>
      <c r="M663" t="n">
        <v>0</v>
      </c>
      <c r="N663" t="n">
        <v>0</v>
      </c>
      <c r="O663" t="n">
        <v>1</v>
      </c>
      <c r="P663" t="n">
        <v>1</v>
      </c>
      <c r="Q663" t="n">
        <v>1</v>
      </c>
      <c r="R663" s="2" t="inlineStr">
        <is>
          <t>Ask</t>
        </is>
      </c>
      <c r="S663">
        <f>HYPERLINK("https://klasma.github.io/Logging_1496/artfynd/A 10602-2023 artfynd.xlsx", "A 10602-2023")</f>
        <v/>
      </c>
      <c r="T663">
        <f>HYPERLINK("https://klasma.github.io/Logging_1496/kartor/A 10602-2023 karta.png", "A 10602-2023")</f>
        <v/>
      </c>
      <c r="V663">
        <f>HYPERLINK("https://klasma.github.io/Logging_1496/klagomål/A 10602-2023 FSC-klagomål.docx", "A 10602-2023")</f>
        <v/>
      </c>
      <c r="W663">
        <f>HYPERLINK("https://klasma.github.io/Logging_1496/klagomålsmail/A 10602-2023 FSC-klagomål mail.docx", "A 10602-2023")</f>
        <v/>
      </c>
      <c r="X663">
        <f>HYPERLINK("https://klasma.github.io/Logging_1496/tillsyn/A 10602-2023 tillsynsbegäran.docx", "A 10602-2023")</f>
        <v/>
      </c>
      <c r="Y663">
        <f>HYPERLINK("https://klasma.github.io/Logging_1496/tillsynsmail/A 10602-2023 tillsynsbegäran mail.docx", "A 10602-2023")</f>
        <v/>
      </c>
    </row>
    <row r="664" ht="15" customHeight="1">
      <c r="A664" t="inlineStr">
        <is>
          <t>A 10610-2023</t>
        </is>
      </c>
      <c r="B664" s="1" t="n">
        <v>44988</v>
      </c>
      <c r="C664" s="1" t="n">
        <v>46011</v>
      </c>
      <c r="D664" t="inlineStr">
        <is>
          <t>VÄSTRA GÖTALANDS LÄN</t>
        </is>
      </c>
      <c r="E664" t="inlineStr">
        <is>
          <t>SKÖVDE</t>
        </is>
      </c>
      <c r="F664" t="inlineStr">
        <is>
          <t>Kommuner</t>
        </is>
      </c>
      <c r="G664" t="n">
        <v>8</v>
      </c>
      <c r="H664" t="n">
        <v>1</v>
      </c>
      <c r="I664" t="n">
        <v>0</v>
      </c>
      <c r="J664" t="n">
        <v>0</v>
      </c>
      <c r="K664" t="n">
        <v>0</v>
      </c>
      <c r="L664" t="n">
        <v>0</v>
      </c>
      <c r="M664" t="n">
        <v>0</v>
      </c>
      <c r="N664" t="n">
        <v>0</v>
      </c>
      <c r="O664" t="n">
        <v>0</v>
      </c>
      <c r="P664" t="n">
        <v>0</v>
      </c>
      <c r="Q664" t="n">
        <v>1</v>
      </c>
      <c r="R664" s="2" t="inlineStr">
        <is>
          <t>Revlummer</t>
        </is>
      </c>
      <c r="S664">
        <f>HYPERLINK("https://klasma.github.io/Logging_1496/artfynd/A 10610-2023 artfynd.xlsx", "A 10610-2023")</f>
        <v/>
      </c>
      <c r="T664">
        <f>HYPERLINK("https://klasma.github.io/Logging_1496/kartor/A 10610-2023 karta.png", "A 10610-2023")</f>
        <v/>
      </c>
      <c r="V664">
        <f>HYPERLINK("https://klasma.github.io/Logging_1496/klagomål/A 10610-2023 FSC-klagomål.docx", "A 10610-2023")</f>
        <v/>
      </c>
      <c r="W664">
        <f>HYPERLINK("https://klasma.github.io/Logging_1496/klagomålsmail/A 10610-2023 FSC-klagomål mail.docx", "A 10610-2023")</f>
        <v/>
      </c>
      <c r="X664">
        <f>HYPERLINK("https://klasma.github.io/Logging_1496/tillsyn/A 10610-2023 tillsynsbegäran.docx", "A 10610-2023")</f>
        <v/>
      </c>
      <c r="Y664">
        <f>HYPERLINK("https://klasma.github.io/Logging_1496/tillsynsmail/A 10610-2023 tillsynsbegäran mail.docx", "A 10610-2023")</f>
        <v/>
      </c>
    </row>
    <row r="665" ht="15" customHeight="1">
      <c r="A665" t="inlineStr">
        <is>
          <t>A 53515-2024</t>
        </is>
      </c>
      <c r="B665" s="1" t="n">
        <v>45614.60082175926</v>
      </c>
      <c r="C665" s="1" t="n">
        <v>46011</v>
      </c>
      <c r="D665" t="inlineStr">
        <is>
          <t>VÄSTRA GÖTALANDS LÄN</t>
        </is>
      </c>
      <c r="E665" t="inlineStr">
        <is>
          <t>MELLERUD</t>
        </is>
      </c>
      <c r="G665" t="n">
        <v>3.5</v>
      </c>
      <c r="H665" t="n">
        <v>1</v>
      </c>
      <c r="I665" t="n">
        <v>0</v>
      </c>
      <c r="J665" t="n">
        <v>0</v>
      </c>
      <c r="K665" t="n">
        <v>0</v>
      </c>
      <c r="L665" t="n">
        <v>0</v>
      </c>
      <c r="M665" t="n">
        <v>0</v>
      </c>
      <c r="N665" t="n">
        <v>0</v>
      </c>
      <c r="O665" t="n">
        <v>0</v>
      </c>
      <c r="P665" t="n">
        <v>0</v>
      </c>
      <c r="Q665" t="n">
        <v>1</v>
      </c>
      <c r="R665" s="2" t="inlineStr">
        <is>
          <t>Blåsippa</t>
        </is>
      </c>
      <c r="S665">
        <f>HYPERLINK("https://klasma.github.io/Logging_1461/artfynd/A 53515-2024 artfynd.xlsx", "A 53515-2024")</f>
        <v/>
      </c>
      <c r="T665">
        <f>HYPERLINK("https://klasma.github.io/Logging_1461/kartor/A 53515-2024 karta.png", "A 53515-2024")</f>
        <v/>
      </c>
      <c r="V665">
        <f>HYPERLINK("https://klasma.github.io/Logging_1461/klagomål/A 53515-2024 FSC-klagomål.docx", "A 53515-2024")</f>
        <v/>
      </c>
      <c r="W665">
        <f>HYPERLINK("https://klasma.github.io/Logging_1461/klagomålsmail/A 53515-2024 FSC-klagomål mail.docx", "A 53515-2024")</f>
        <v/>
      </c>
      <c r="X665">
        <f>HYPERLINK("https://klasma.github.io/Logging_1461/tillsyn/A 53515-2024 tillsynsbegäran.docx", "A 53515-2024")</f>
        <v/>
      </c>
      <c r="Y665">
        <f>HYPERLINK("https://klasma.github.io/Logging_1461/tillsynsmail/A 53515-2024 tillsynsbegäran mail.docx", "A 53515-2024")</f>
        <v/>
      </c>
    </row>
    <row r="666" ht="15" customHeight="1">
      <c r="A666" t="inlineStr">
        <is>
          <t>A 63439-2023</t>
        </is>
      </c>
      <c r="B666" s="1" t="n">
        <v>45274.59327546296</v>
      </c>
      <c r="C666" s="1" t="n">
        <v>46011</v>
      </c>
      <c r="D666" t="inlineStr">
        <is>
          <t>VÄSTRA GÖTALANDS LÄN</t>
        </is>
      </c>
      <c r="E666" t="inlineStr">
        <is>
          <t>TANUM</t>
        </is>
      </c>
      <c r="F666" t="inlineStr">
        <is>
          <t>Sveaskog</t>
        </is>
      </c>
      <c r="G666" t="n">
        <v>5.7</v>
      </c>
      <c r="H666" t="n">
        <v>1</v>
      </c>
      <c r="I666" t="n">
        <v>0</v>
      </c>
      <c r="J666" t="n">
        <v>0</v>
      </c>
      <c r="K666" t="n">
        <v>0</v>
      </c>
      <c r="L666" t="n">
        <v>0</v>
      </c>
      <c r="M666" t="n">
        <v>0</v>
      </c>
      <c r="N666" t="n">
        <v>0</v>
      </c>
      <c r="O666" t="n">
        <v>0</v>
      </c>
      <c r="P666" t="n">
        <v>0</v>
      </c>
      <c r="Q666" t="n">
        <v>1</v>
      </c>
      <c r="R666" s="2" t="inlineStr">
        <is>
          <t>Revlummer</t>
        </is>
      </c>
      <c r="S666">
        <f>HYPERLINK("https://klasma.github.io/Logging_1435/artfynd/A 63439-2023 artfynd.xlsx", "A 63439-2023")</f>
        <v/>
      </c>
      <c r="T666">
        <f>HYPERLINK("https://klasma.github.io/Logging_1435/kartor/A 63439-2023 karta.png", "A 63439-2023")</f>
        <v/>
      </c>
      <c r="V666">
        <f>HYPERLINK("https://klasma.github.io/Logging_1435/klagomål/A 63439-2023 FSC-klagomål.docx", "A 63439-2023")</f>
        <v/>
      </c>
      <c r="W666">
        <f>HYPERLINK("https://klasma.github.io/Logging_1435/klagomålsmail/A 63439-2023 FSC-klagomål mail.docx", "A 63439-2023")</f>
        <v/>
      </c>
      <c r="X666">
        <f>HYPERLINK("https://klasma.github.io/Logging_1435/tillsyn/A 63439-2023 tillsynsbegäran.docx", "A 63439-2023")</f>
        <v/>
      </c>
      <c r="Y666">
        <f>HYPERLINK("https://klasma.github.io/Logging_1435/tillsynsmail/A 63439-2023 tillsynsbegäran mail.docx", "A 63439-2023")</f>
        <v/>
      </c>
    </row>
    <row r="667" ht="15" customHeight="1">
      <c r="A667" t="inlineStr">
        <is>
          <t>A 26493-2024</t>
        </is>
      </c>
      <c r="B667" s="1" t="n">
        <v>45469</v>
      </c>
      <c r="C667" s="1" t="n">
        <v>46011</v>
      </c>
      <c r="D667" t="inlineStr">
        <is>
          <t>VÄSTRA GÖTALANDS LÄN</t>
        </is>
      </c>
      <c r="E667" t="inlineStr">
        <is>
          <t>ALE</t>
        </is>
      </c>
      <c r="G667" t="n">
        <v>1.6</v>
      </c>
      <c r="H667" t="n">
        <v>1</v>
      </c>
      <c r="I667" t="n">
        <v>0</v>
      </c>
      <c r="J667" t="n">
        <v>0</v>
      </c>
      <c r="K667" t="n">
        <v>0</v>
      </c>
      <c r="L667" t="n">
        <v>0</v>
      </c>
      <c r="M667" t="n">
        <v>0</v>
      </c>
      <c r="N667" t="n">
        <v>0</v>
      </c>
      <c r="O667" t="n">
        <v>0</v>
      </c>
      <c r="P667" t="n">
        <v>0</v>
      </c>
      <c r="Q667" t="n">
        <v>1</v>
      </c>
      <c r="R667" s="2" t="inlineStr">
        <is>
          <t>Grönvit nattviol</t>
        </is>
      </c>
      <c r="S667">
        <f>HYPERLINK("https://klasma.github.io/Logging_1440/artfynd/A 26493-2024 artfynd.xlsx", "A 26493-2024")</f>
        <v/>
      </c>
      <c r="T667">
        <f>HYPERLINK("https://klasma.github.io/Logging_1440/kartor/A 26493-2024 karta.png", "A 26493-2024")</f>
        <v/>
      </c>
      <c r="V667">
        <f>HYPERLINK("https://klasma.github.io/Logging_1440/klagomål/A 26493-2024 FSC-klagomål.docx", "A 26493-2024")</f>
        <v/>
      </c>
      <c r="W667">
        <f>HYPERLINK("https://klasma.github.io/Logging_1440/klagomålsmail/A 26493-2024 FSC-klagomål mail.docx", "A 26493-2024")</f>
        <v/>
      </c>
      <c r="X667">
        <f>HYPERLINK("https://klasma.github.io/Logging_1440/tillsyn/A 26493-2024 tillsynsbegäran.docx", "A 26493-2024")</f>
        <v/>
      </c>
      <c r="Y667">
        <f>HYPERLINK("https://klasma.github.io/Logging_1440/tillsynsmail/A 26493-2024 tillsynsbegäran mail.docx", "A 26493-2024")</f>
        <v/>
      </c>
    </row>
    <row r="668" ht="15" customHeight="1">
      <c r="A668" t="inlineStr">
        <is>
          <t>A 30754-2023</t>
        </is>
      </c>
      <c r="B668" s="1" t="n">
        <v>45112</v>
      </c>
      <c r="C668" s="1" t="n">
        <v>46011</v>
      </c>
      <c r="D668" t="inlineStr">
        <is>
          <t>VÄSTRA GÖTALANDS LÄN</t>
        </is>
      </c>
      <c r="E668" t="inlineStr">
        <is>
          <t>BOLLEBYGD</t>
        </is>
      </c>
      <c r="G668" t="n">
        <v>1.7</v>
      </c>
      <c r="H668" t="n">
        <v>0</v>
      </c>
      <c r="I668" t="n">
        <v>1</v>
      </c>
      <c r="J668" t="n">
        <v>0</v>
      </c>
      <c r="K668" t="n">
        <v>0</v>
      </c>
      <c r="L668" t="n">
        <v>0</v>
      </c>
      <c r="M668" t="n">
        <v>0</v>
      </c>
      <c r="N668" t="n">
        <v>0</v>
      </c>
      <c r="O668" t="n">
        <v>0</v>
      </c>
      <c r="P668" t="n">
        <v>0</v>
      </c>
      <c r="Q668" t="n">
        <v>1</v>
      </c>
      <c r="R668" s="2" t="inlineStr">
        <is>
          <t>Havstulpanlav</t>
        </is>
      </c>
      <c r="S668">
        <f>HYPERLINK("https://klasma.github.io/Logging_1443/artfynd/A 30754-2023 artfynd.xlsx", "A 30754-2023")</f>
        <v/>
      </c>
      <c r="T668">
        <f>HYPERLINK("https://klasma.github.io/Logging_1443/kartor/A 30754-2023 karta.png", "A 30754-2023")</f>
        <v/>
      </c>
      <c r="V668">
        <f>HYPERLINK("https://klasma.github.io/Logging_1443/klagomål/A 30754-2023 FSC-klagomål.docx", "A 30754-2023")</f>
        <v/>
      </c>
      <c r="W668">
        <f>HYPERLINK("https://klasma.github.io/Logging_1443/klagomålsmail/A 30754-2023 FSC-klagomål mail.docx", "A 30754-2023")</f>
        <v/>
      </c>
      <c r="X668">
        <f>HYPERLINK("https://klasma.github.io/Logging_1443/tillsyn/A 30754-2023 tillsynsbegäran.docx", "A 30754-2023")</f>
        <v/>
      </c>
      <c r="Y668">
        <f>HYPERLINK("https://klasma.github.io/Logging_1443/tillsynsmail/A 30754-2023 tillsynsbegäran mail.docx", "A 30754-2023")</f>
        <v/>
      </c>
    </row>
    <row r="669" ht="15" customHeight="1">
      <c r="A669" t="inlineStr">
        <is>
          <t>A 1591-2023</t>
        </is>
      </c>
      <c r="B669" s="1" t="n">
        <v>44937</v>
      </c>
      <c r="C669" s="1" t="n">
        <v>46011</v>
      </c>
      <c r="D669" t="inlineStr">
        <is>
          <t>VÄSTRA GÖTALANDS LÄN</t>
        </is>
      </c>
      <c r="E669" t="inlineStr">
        <is>
          <t>TÖREBODA</t>
        </is>
      </c>
      <c r="G669" t="n">
        <v>10.1</v>
      </c>
      <c r="H669" t="n">
        <v>0</v>
      </c>
      <c r="I669" t="n">
        <v>0</v>
      </c>
      <c r="J669" t="n">
        <v>1</v>
      </c>
      <c r="K669" t="n">
        <v>0</v>
      </c>
      <c r="L669" t="n">
        <v>0</v>
      </c>
      <c r="M669" t="n">
        <v>0</v>
      </c>
      <c r="N669" t="n">
        <v>0</v>
      </c>
      <c r="O669" t="n">
        <v>1</v>
      </c>
      <c r="P669" t="n">
        <v>0</v>
      </c>
      <c r="Q669" t="n">
        <v>1</v>
      </c>
      <c r="R669" s="2" t="inlineStr">
        <is>
          <t>Grantaggsvamp</t>
        </is>
      </c>
      <c r="S669">
        <f>HYPERLINK("https://klasma.github.io/Logging_1473/artfynd/A 1591-2023 artfynd.xlsx", "A 1591-2023")</f>
        <v/>
      </c>
      <c r="T669">
        <f>HYPERLINK("https://klasma.github.io/Logging_1473/kartor/A 1591-2023 karta.png", "A 1591-2023")</f>
        <v/>
      </c>
      <c r="V669">
        <f>HYPERLINK("https://klasma.github.io/Logging_1473/klagomål/A 1591-2023 FSC-klagomål.docx", "A 1591-2023")</f>
        <v/>
      </c>
      <c r="W669">
        <f>HYPERLINK("https://klasma.github.io/Logging_1473/klagomålsmail/A 1591-2023 FSC-klagomål mail.docx", "A 1591-2023")</f>
        <v/>
      </c>
      <c r="X669">
        <f>HYPERLINK("https://klasma.github.io/Logging_1473/tillsyn/A 1591-2023 tillsynsbegäran.docx", "A 1591-2023")</f>
        <v/>
      </c>
      <c r="Y669">
        <f>HYPERLINK("https://klasma.github.io/Logging_1473/tillsynsmail/A 1591-2023 tillsynsbegäran mail.docx", "A 1591-2023")</f>
        <v/>
      </c>
    </row>
    <row r="670" ht="15" customHeight="1">
      <c r="A670" t="inlineStr">
        <is>
          <t>A 5162-2024</t>
        </is>
      </c>
      <c r="B670" s="1" t="n">
        <v>45330</v>
      </c>
      <c r="C670" s="1" t="n">
        <v>46011</v>
      </c>
      <c r="D670" t="inlineStr">
        <is>
          <t>VÄSTRA GÖTALANDS LÄN</t>
        </is>
      </c>
      <c r="E670" t="inlineStr">
        <is>
          <t>MARIESTAD</t>
        </is>
      </c>
      <c r="G670" t="n">
        <v>0.5</v>
      </c>
      <c r="H670" t="n">
        <v>1</v>
      </c>
      <c r="I670" t="n">
        <v>0</v>
      </c>
      <c r="J670" t="n">
        <v>0</v>
      </c>
      <c r="K670" t="n">
        <v>0</v>
      </c>
      <c r="L670" t="n">
        <v>0</v>
      </c>
      <c r="M670" t="n">
        <v>0</v>
      </c>
      <c r="N670" t="n">
        <v>0</v>
      </c>
      <c r="O670" t="n">
        <v>0</v>
      </c>
      <c r="P670" t="n">
        <v>0</v>
      </c>
      <c r="Q670" t="n">
        <v>1</v>
      </c>
      <c r="R670" s="2" t="inlineStr">
        <is>
          <t>Större brunfladdermus</t>
        </is>
      </c>
      <c r="S670">
        <f>HYPERLINK("https://klasma.github.io/Logging_1493/artfynd/A 5162-2024 artfynd.xlsx", "A 5162-2024")</f>
        <v/>
      </c>
      <c r="T670">
        <f>HYPERLINK("https://klasma.github.io/Logging_1493/kartor/A 5162-2024 karta.png", "A 5162-2024")</f>
        <v/>
      </c>
      <c r="V670">
        <f>HYPERLINK("https://klasma.github.io/Logging_1493/klagomål/A 5162-2024 FSC-klagomål.docx", "A 5162-2024")</f>
        <v/>
      </c>
      <c r="W670">
        <f>HYPERLINK("https://klasma.github.io/Logging_1493/klagomålsmail/A 5162-2024 FSC-klagomål mail.docx", "A 5162-2024")</f>
        <v/>
      </c>
      <c r="X670">
        <f>HYPERLINK("https://klasma.github.io/Logging_1493/tillsyn/A 5162-2024 tillsynsbegäran.docx", "A 5162-2024")</f>
        <v/>
      </c>
      <c r="Y670">
        <f>HYPERLINK("https://klasma.github.io/Logging_1493/tillsynsmail/A 5162-2024 tillsynsbegäran mail.docx", "A 5162-2024")</f>
        <v/>
      </c>
    </row>
    <row r="671" ht="15" customHeight="1">
      <c r="A671" t="inlineStr">
        <is>
          <t>A 37011-2022</t>
        </is>
      </c>
      <c r="B671" s="1" t="n">
        <v>44806</v>
      </c>
      <c r="C671" s="1" t="n">
        <v>46011</v>
      </c>
      <c r="D671" t="inlineStr">
        <is>
          <t>VÄSTRA GÖTALANDS LÄN</t>
        </is>
      </c>
      <c r="E671" t="inlineStr">
        <is>
          <t>GÖTEBORG</t>
        </is>
      </c>
      <c r="G671" t="n">
        <v>2.9</v>
      </c>
      <c r="H671" t="n">
        <v>1</v>
      </c>
      <c r="I671" t="n">
        <v>0</v>
      </c>
      <c r="J671" t="n">
        <v>0</v>
      </c>
      <c r="K671" t="n">
        <v>1</v>
      </c>
      <c r="L671" t="n">
        <v>0</v>
      </c>
      <c r="M671" t="n">
        <v>0</v>
      </c>
      <c r="N671" t="n">
        <v>0</v>
      </c>
      <c r="O671" t="n">
        <v>1</v>
      </c>
      <c r="P671" t="n">
        <v>1</v>
      </c>
      <c r="Q671" t="n">
        <v>1</v>
      </c>
      <c r="R671" s="2" t="inlineStr">
        <is>
          <t>Hasselsnok</t>
        </is>
      </c>
      <c r="S671">
        <f>HYPERLINK("https://klasma.github.io/Logging_1480/artfynd/A 37011-2022 artfynd.xlsx", "A 37011-2022")</f>
        <v/>
      </c>
      <c r="T671">
        <f>HYPERLINK("https://klasma.github.io/Logging_1480/kartor/A 37011-2022 karta.png", "A 37011-2022")</f>
        <v/>
      </c>
      <c r="V671">
        <f>HYPERLINK("https://klasma.github.io/Logging_1480/klagomål/A 37011-2022 FSC-klagomål.docx", "A 37011-2022")</f>
        <v/>
      </c>
      <c r="W671">
        <f>HYPERLINK("https://klasma.github.io/Logging_1480/klagomålsmail/A 37011-2022 FSC-klagomål mail.docx", "A 37011-2022")</f>
        <v/>
      </c>
      <c r="X671">
        <f>HYPERLINK("https://klasma.github.io/Logging_1480/tillsyn/A 37011-2022 tillsynsbegäran.docx", "A 37011-2022")</f>
        <v/>
      </c>
      <c r="Y671">
        <f>HYPERLINK("https://klasma.github.io/Logging_1480/tillsynsmail/A 37011-2022 tillsynsbegäran mail.docx", "A 37011-2022")</f>
        <v/>
      </c>
    </row>
    <row r="672" ht="15" customHeight="1">
      <c r="A672" t="inlineStr">
        <is>
          <t>A 30666-2023</t>
        </is>
      </c>
      <c r="B672" s="1" t="n">
        <v>45112</v>
      </c>
      <c r="C672" s="1" t="n">
        <v>46011</v>
      </c>
      <c r="D672" t="inlineStr">
        <is>
          <t>VÄSTRA GÖTALANDS LÄN</t>
        </is>
      </c>
      <c r="E672" t="inlineStr">
        <is>
          <t>BOLLEBYGD</t>
        </is>
      </c>
      <c r="G672" t="n">
        <v>1.1</v>
      </c>
      <c r="H672" t="n">
        <v>1</v>
      </c>
      <c r="I672" t="n">
        <v>0</v>
      </c>
      <c r="J672" t="n">
        <v>1</v>
      </c>
      <c r="K672" t="n">
        <v>0</v>
      </c>
      <c r="L672" t="n">
        <v>0</v>
      </c>
      <c r="M672" t="n">
        <v>0</v>
      </c>
      <c r="N672" t="n">
        <v>0</v>
      </c>
      <c r="O672" t="n">
        <v>1</v>
      </c>
      <c r="P672" t="n">
        <v>0</v>
      </c>
      <c r="Q672" t="n">
        <v>1</v>
      </c>
      <c r="R672" s="2" t="inlineStr">
        <is>
          <t>Talltita</t>
        </is>
      </c>
      <c r="S672">
        <f>HYPERLINK("https://klasma.github.io/Logging_1443/artfynd/A 30666-2023 artfynd.xlsx", "A 30666-2023")</f>
        <v/>
      </c>
      <c r="T672">
        <f>HYPERLINK("https://klasma.github.io/Logging_1443/kartor/A 30666-2023 karta.png", "A 30666-2023")</f>
        <v/>
      </c>
      <c r="V672">
        <f>HYPERLINK("https://klasma.github.io/Logging_1443/klagomål/A 30666-2023 FSC-klagomål.docx", "A 30666-2023")</f>
        <v/>
      </c>
      <c r="W672">
        <f>HYPERLINK("https://klasma.github.io/Logging_1443/klagomålsmail/A 30666-2023 FSC-klagomål mail.docx", "A 30666-2023")</f>
        <v/>
      </c>
      <c r="X672">
        <f>HYPERLINK("https://klasma.github.io/Logging_1443/tillsyn/A 30666-2023 tillsynsbegäran.docx", "A 30666-2023")</f>
        <v/>
      </c>
      <c r="Y672">
        <f>HYPERLINK("https://klasma.github.io/Logging_1443/tillsynsmail/A 30666-2023 tillsynsbegäran mail.docx", "A 30666-2023")</f>
        <v/>
      </c>
      <c r="Z672">
        <f>HYPERLINK("https://klasma.github.io/Logging_1443/fåglar/A 30666-2023 prioriterade fågelarter.docx", "A 30666-2023")</f>
        <v/>
      </c>
    </row>
    <row r="673" ht="15" customHeight="1">
      <c r="A673" t="inlineStr">
        <is>
          <t>A 40255-2023</t>
        </is>
      </c>
      <c r="B673" s="1" t="n">
        <v>45169</v>
      </c>
      <c r="C673" s="1" t="n">
        <v>46011</v>
      </c>
      <c r="D673" t="inlineStr">
        <is>
          <t>VÄSTRA GÖTALANDS LÄN</t>
        </is>
      </c>
      <c r="E673" t="inlineStr">
        <is>
          <t>MARK</t>
        </is>
      </c>
      <c r="G673" t="n">
        <v>1.4</v>
      </c>
      <c r="H673" t="n">
        <v>1</v>
      </c>
      <c r="I673" t="n">
        <v>0</v>
      </c>
      <c r="J673" t="n">
        <v>0</v>
      </c>
      <c r="K673" t="n">
        <v>0</v>
      </c>
      <c r="L673" t="n">
        <v>0</v>
      </c>
      <c r="M673" t="n">
        <v>0</v>
      </c>
      <c r="N673" t="n">
        <v>0</v>
      </c>
      <c r="O673" t="n">
        <v>0</v>
      </c>
      <c r="P673" t="n">
        <v>0</v>
      </c>
      <c r="Q673" t="n">
        <v>1</v>
      </c>
      <c r="R673" s="2" t="inlineStr">
        <is>
          <t>Revlummer</t>
        </is>
      </c>
      <c r="S673">
        <f>HYPERLINK("https://klasma.github.io/Logging_1463/artfynd/A 40255-2023 artfynd.xlsx", "A 40255-2023")</f>
        <v/>
      </c>
      <c r="T673">
        <f>HYPERLINK("https://klasma.github.io/Logging_1463/kartor/A 40255-2023 karta.png", "A 40255-2023")</f>
        <v/>
      </c>
      <c r="V673">
        <f>HYPERLINK("https://klasma.github.io/Logging_1463/klagomål/A 40255-2023 FSC-klagomål.docx", "A 40255-2023")</f>
        <v/>
      </c>
      <c r="W673">
        <f>HYPERLINK("https://klasma.github.io/Logging_1463/klagomålsmail/A 40255-2023 FSC-klagomål mail.docx", "A 40255-2023")</f>
        <v/>
      </c>
      <c r="X673">
        <f>HYPERLINK("https://klasma.github.io/Logging_1463/tillsyn/A 40255-2023 tillsynsbegäran.docx", "A 40255-2023")</f>
        <v/>
      </c>
      <c r="Y673">
        <f>HYPERLINK("https://klasma.github.io/Logging_1463/tillsynsmail/A 40255-2023 tillsynsbegäran mail.docx", "A 40255-2023")</f>
        <v/>
      </c>
    </row>
    <row r="674" ht="15" customHeight="1">
      <c r="A674" t="inlineStr">
        <is>
          <t>A 45160-2024</t>
        </is>
      </c>
      <c r="B674" s="1" t="n">
        <v>45575.6496412037</v>
      </c>
      <c r="C674" s="1" t="n">
        <v>46011</v>
      </c>
      <c r="D674" t="inlineStr">
        <is>
          <t>VÄSTRA GÖTALANDS LÄN</t>
        </is>
      </c>
      <c r="E674" t="inlineStr">
        <is>
          <t>MUNKEDAL</t>
        </is>
      </c>
      <c r="F674" t="inlineStr">
        <is>
          <t>Naturvårdsverket</t>
        </is>
      </c>
      <c r="G674" t="n">
        <v>3.4</v>
      </c>
      <c r="H674" t="n">
        <v>1</v>
      </c>
      <c r="I674" t="n">
        <v>0</v>
      </c>
      <c r="J674" t="n">
        <v>1</v>
      </c>
      <c r="K674" t="n">
        <v>0</v>
      </c>
      <c r="L674" t="n">
        <v>0</v>
      </c>
      <c r="M674" t="n">
        <v>0</v>
      </c>
      <c r="N674" t="n">
        <v>0</v>
      </c>
      <c r="O674" t="n">
        <v>1</v>
      </c>
      <c r="P674" t="n">
        <v>0</v>
      </c>
      <c r="Q674" t="n">
        <v>1</v>
      </c>
      <c r="R674" s="2" t="inlineStr">
        <is>
          <t>Spillkråka</t>
        </is>
      </c>
      <c r="S674">
        <f>HYPERLINK("https://klasma.github.io/Logging_1430/artfynd/A 45160-2024 artfynd.xlsx", "A 45160-2024")</f>
        <v/>
      </c>
      <c r="T674">
        <f>HYPERLINK("https://klasma.github.io/Logging_1430/kartor/A 45160-2024 karta.png", "A 45160-2024")</f>
        <v/>
      </c>
      <c r="V674">
        <f>HYPERLINK("https://klasma.github.io/Logging_1430/klagomål/A 45160-2024 FSC-klagomål.docx", "A 45160-2024")</f>
        <v/>
      </c>
      <c r="W674">
        <f>HYPERLINK("https://klasma.github.io/Logging_1430/klagomålsmail/A 45160-2024 FSC-klagomål mail.docx", "A 45160-2024")</f>
        <v/>
      </c>
      <c r="X674">
        <f>HYPERLINK("https://klasma.github.io/Logging_1430/tillsyn/A 45160-2024 tillsynsbegäran.docx", "A 45160-2024")</f>
        <v/>
      </c>
      <c r="Y674">
        <f>HYPERLINK("https://klasma.github.io/Logging_1430/tillsynsmail/A 45160-2024 tillsynsbegäran mail.docx", "A 45160-2024")</f>
        <v/>
      </c>
      <c r="Z674">
        <f>HYPERLINK("https://klasma.github.io/Logging_1430/fåglar/A 45160-2024 prioriterade fågelarter.docx", "A 45160-2024")</f>
        <v/>
      </c>
    </row>
    <row r="675" ht="15" customHeight="1">
      <c r="A675" t="inlineStr">
        <is>
          <t>A 2637-2022</t>
        </is>
      </c>
      <c r="B675" s="1" t="n">
        <v>44580</v>
      </c>
      <c r="C675" s="1" t="n">
        <v>46011</v>
      </c>
      <c r="D675" t="inlineStr">
        <is>
          <t>VÄSTRA GÖTALANDS LÄN</t>
        </is>
      </c>
      <c r="E675" t="inlineStr">
        <is>
          <t>GULLSPÅNG</t>
        </is>
      </c>
      <c r="G675" t="n">
        <v>3</v>
      </c>
      <c r="H675" t="n">
        <v>1</v>
      </c>
      <c r="I675" t="n">
        <v>0</v>
      </c>
      <c r="J675" t="n">
        <v>0</v>
      </c>
      <c r="K675" t="n">
        <v>1</v>
      </c>
      <c r="L675" t="n">
        <v>0</v>
      </c>
      <c r="M675" t="n">
        <v>0</v>
      </c>
      <c r="N675" t="n">
        <v>0</v>
      </c>
      <c r="O675" t="n">
        <v>1</v>
      </c>
      <c r="P675" t="n">
        <v>1</v>
      </c>
      <c r="Q675" t="n">
        <v>1</v>
      </c>
      <c r="R675" s="2" t="inlineStr">
        <is>
          <t>Knärot</t>
        </is>
      </c>
      <c r="S675">
        <f>HYPERLINK("https://klasma.github.io/Logging_1447/artfynd/A 2637-2022 artfynd.xlsx", "A 2637-2022")</f>
        <v/>
      </c>
      <c r="T675">
        <f>HYPERLINK("https://klasma.github.io/Logging_1447/kartor/A 2637-2022 karta.png", "A 2637-2022")</f>
        <v/>
      </c>
      <c r="U675">
        <f>HYPERLINK("https://klasma.github.io/Logging_1447/knärot/A 2637-2022 karta knärot.png", "A 2637-2022")</f>
        <v/>
      </c>
      <c r="V675">
        <f>HYPERLINK("https://klasma.github.io/Logging_1447/klagomål/A 2637-2022 FSC-klagomål.docx", "A 2637-2022")</f>
        <v/>
      </c>
      <c r="W675">
        <f>HYPERLINK("https://klasma.github.io/Logging_1447/klagomålsmail/A 2637-2022 FSC-klagomål mail.docx", "A 2637-2022")</f>
        <v/>
      </c>
      <c r="X675">
        <f>HYPERLINK("https://klasma.github.io/Logging_1447/tillsyn/A 2637-2022 tillsynsbegäran.docx", "A 2637-2022")</f>
        <v/>
      </c>
      <c r="Y675">
        <f>HYPERLINK("https://klasma.github.io/Logging_1447/tillsynsmail/A 2637-2022 tillsynsbegäran mail.docx", "A 2637-2022")</f>
        <v/>
      </c>
    </row>
    <row r="676" ht="15" customHeight="1">
      <c r="A676" t="inlineStr">
        <is>
          <t>A 28682-2024</t>
        </is>
      </c>
      <c r="B676" s="1" t="n">
        <v>45478.48630787037</v>
      </c>
      <c r="C676" s="1" t="n">
        <v>46011</v>
      </c>
      <c r="D676" t="inlineStr">
        <is>
          <t>VÄSTRA GÖTALANDS LÄN</t>
        </is>
      </c>
      <c r="E676" t="inlineStr">
        <is>
          <t>BORÅS</t>
        </is>
      </c>
      <c r="G676" t="n">
        <v>2</v>
      </c>
      <c r="H676" t="n">
        <v>1</v>
      </c>
      <c r="I676" t="n">
        <v>0</v>
      </c>
      <c r="J676" t="n">
        <v>0</v>
      </c>
      <c r="K676" t="n">
        <v>0</v>
      </c>
      <c r="L676" t="n">
        <v>0</v>
      </c>
      <c r="M676" t="n">
        <v>0</v>
      </c>
      <c r="N676" t="n">
        <v>0</v>
      </c>
      <c r="O676" t="n">
        <v>0</v>
      </c>
      <c r="P676" t="n">
        <v>0</v>
      </c>
      <c r="Q676" t="n">
        <v>1</v>
      </c>
      <c r="R676" s="2" t="inlineStr">
        <is>
          <t>Vanlig padda</t>
        </is>
      </c>
      <c r="S676">
        <f>HYPERLINK("https://klasma.github.io/Logging_1490/artfynd/A 28682-2024 artfynd.xlsx", "A 28682-2024")</f>
        <v/>
      </c>
      <c r="T676">
        <f>HYPERLINK("https://klasma.github.io/Logging_1490/kartor/A 28682-2024 karta.png", "A 28682-2024")</f>
        <v/>
      </c>
      <c r="V676">
        <f>HYPERLINK("https://klasma.github.io/Logging_1490/klagomål/A 28682-2024 FSC-klagomål.docx", "A 28682-2024")</f>
        <v/>
      </c>
      <c r="W676">
        <f>HYPERLINK("https://klasma.github.io/Logging_1490/klagomålsmail/A 28682-2024 FSC-klagomål mail.docx", "A 28682-2024")</f>
        <v/>
      </c>
      <c r="X676">
        <f>HYPERLINK("https://klasma.github.io/Logging_1490/tillsyn/A 28682-2024 tillsynsbegäran.docx", "A 28682-2024")</f>
        <v/>
      </c>
      <c r="Y676">
        <f>HYPERLINK("https://klasma.github.io/Logging_1490/tillsynsmail/A 28682-2024 tillsynsbegäran mail.docx", "A 28682-2024")</f>
        <v/>
      </c>
    </row>
    <row r="677" ht="15" customHeight="1">
      <c r="A677" t="inlineStr">
        <is>
          <t>A 37767-2023</t>
        </is>
      </c>
      <c r="B677" s="1" t="n">
        <v>45159</v>
      </c>
      <c r="C677" s="1" t="n">
        <v>46011</v>
      </c>
      <c r="D677" t="inlineStr">
        <is>
          <t>VÄSTRA GÖTALANDS LÄN</t>
        </is>
      </c>
      <c r="E677" t="inlineStr">
        <is>
          <t>GULLSPÅNG</t>
        </is>
      </c>
      <c r="G677" t="n">
        <v>21.1</v>
      </c>
      <c r="H677" t="n">
        <v>0</v>
      </c>
      <c r="I677" t="n">
        <v>1</v>
      </c>
      <c r="J677" t="n">
        <v>0</v>
      </c>
      <c r="K677" t="n">
        <v>0</v>
      </c>
      <c r="L677" t="n">
        <v>0</v>
      </c>
      <c r="M677" t="n">
        <v>0</v>
      </c>
      <c r="N677" t="n">
        <v>0</v>
      </c>
      <c r="O677" t="n">
        <v>0</v>
      </c>
      <c r="P677" t="n">
        <v>0</v>
      </c>
      <c r="Q677" t="n">
        <v>1</v>
      </c>
      <c r="R677" s="2" t="inlineStr">
        <is>
          <t>Sotlav</t>
        </is>
      </c>
      <c r="S677">
        <f>HYPERLINK("https://klasma.github.io/Logging_1447/artfynd/A 37767-2023 artfynd.xlsx", "A 37767-2023")</f>
        <v/>
      </c>
      <c r="T677">
        <f>HYPERLINK("https://klasma.github.io/Logging_1447/kartor/A 37767-2023 karta.png", "A 37767-2023")</f>
        <v/>
      </c>
      <c r="V677">
        <f>HYPERLINK("https://klasma.github.io/Logging_1447/klagomål/A 37767-2023 FSC-klagomål.docx", "A 37767-2023")</f>
        <v/>
      </c>
      <c r="W677">
        <f>HYPERLINK("https://klasma.github.io/Logging_1447/klagomålsmail/A 37767-2023 FSC-klagomål mail.docx", "A 37767-2023")</f>
        <v/>
      </c>
      <c r="X677">
        <f>HYPERLINK("https://klasma.github.io/Logging_1447/tillsyn/A 37767-2023 tillsynsbegäran.docx", "A 37767-2023")</f>
        <v/>
      </c>
      <c r="Y677">
        <f>HYPERLINK("https://klasma.github.io/Logging_1447/tillsynsmail/A 37767-2023 tillsynsbegäran mail.docx", "A 37767-2023")</f>
        <v/>
      </c>
    </row>
    <row r="678" ht="15" customHeight="1">
      <c r="A678" t="inlineStr">
        <is>
          <t>A 30671-2023</t>
        </is>
      </c>
      <c r="B678" s="1" t="n">
        <v>45112</v>
      </c>
      <c r="C678" s="1" t="n">
        <v>46011</v>
      </c>
      <c r="D678" t="inlineStr">
        <is>
          <t>VÄSTRA GÖTALANDS LÄN</t>
        </is>
      </c>
      <c r="E678" t="inlineStr">
        <is>
          <t>BOLLEBYGD</t>
        </is>
      </c>
      <c r="G678" t="n">
        <v>4.9</v>
      </c>
      <c r="H678" t="n">
        <v>1</v>
      </c>
      <c r="I678" t="n">
        <v>0</v>
      </c>
      <c r="J678" t="n">
        <v>0</v>
      </c>
      <c r="K678" t="n">
        <v>1</v>
      </c>
      <c r="L678" t="n">
        <v>0</v>
      </c>
      <c r="M678" t="n">
        <v>0</v>
      </c>
      <c r="N678" t="n">
        <v>0</v>
      </c>
      <c r="O678" t="n">
        <v>1</v>
      </c>
      <c r="P678" t="n">
        <v>1</v>
      </c>
      <c r="Q678" t="n">
        <v>1</v>
      </c>
      <c r="R678" s="2" t="inlineStr">
        <is>
          <t>Knärot</t>
        </is>
      </c>
      <c r="S678">
        <f>HYPERLINK("https://klasma.github.io/Logging_1443/artfynd/A 30671-2023 artfynd.xlsx", "A 30671-2023")</f>
        <v/>
      </c>
      <c r="T678">
        <f>HYPERLINK("https://klasma.github.io/Logging_1443/kartor/A 30671-2023 karta.png", "A 30671-2023")</f>
        <v/>
      </c>
      <c r="U678">
        <f>HYPERLINK("https://klasma.github.io/Logging_1443/knärot/A 30671-2023 karta knärot.png", "A 30671-2023")</f>
        <v/>
      </c>
      <c r="V678">
        <f>HYPERLINK("https://klasma.github.io/Logging_1443/klagomål/A 30671-2023 FSC-klagomål.docx", "A 30671-2023")</f>
        <v/>
      </c>
      <c r="W678">
        <f>HYPERLINK("https://klasma.github.io/Logging_1443/klagomålsmail/A 30671-2023 FSC-klagomål mail.docx", "A 30671-2023")</f>
        <v/>
      </c>
      <c r="X678">
        <f>HYPERLINK("https://klasma.github.io/Logging_1443/tillsyn/A 30671-2023 tillsynsbegäran.docx", "A 30671-2023")</f>
        <v/>
      </c>
      <c r="Y678">
        <f>HYPERLINK("https://klasma.github.io/Logging_1443/tillsynsmail/A 30671-2023 tillsynsbegäran mail.docx", "A 30671-2023")</f>
        <v/>
      </c>
    </row>
    <row r="679" ht="15" customHeight="1">
      <c r="A679" t="inlineStr">
        <is>
          <t>A 47898-2023</t>
        </is>
      </c>
      <c r="B679" s="1" t="n">
        <v>45204.49358796296</v>
      </c>
      <c r="C679" s="1" t="n">
        <v>46011</v>
      </c>
      <c r="D679" t="inlineStr">
        <is>
          <t>VÄSTRA GÖTALANDS LÄN</t>
        </is>
      </c>
      <c r="E679" t="inlineStr">
        <is>
          <t>SKÖVDE</t>
        </is>
      </c>
      <c r="G679" t="n">
        <v>9.5</v>
      </c>
      <c r="H679" t="n">
        <v>0</v>
      </c>
      <c r="I679" t="n">
        <v>0</v>
      </c>
      <c r="J679" t="n">
        <v>1</v>
      </c>
      <c r="K679" t="n">
        <v>0</v>
      </c>
      <c r="L679" t="n">
        <v>0</v>
      </c>
      <c r="M679" t="n">
        <v>0</v>
      </c>
      <c r="N679" t="n">
        <v>0</v>
      </c>
      <c r="O679" t="n">
        <v>1</v>
      </c>
      <c r="P679" t="n">
        <v>0</v>
      </c>
      <c r="Q679" t="n">
        <v>1</v>
      </c>
      <c r="R679" s="2" t="inlineStr">
        <is>
          <t>Erastia ochraceolateritia</t>
        </is>
      </c>
      <c r="S679">
        <f>HYPERLINK("https://klasma.github.io/Logging_1496/artfynd/A 47898-2023 artfynd.xlsx", "A 47898-2023")</f>
        <v/>
      </c>
      <c r="T679">
        <f>HYPERLINK("https://klasma.github.io/Logging_1496/kartor/A 47898-2023 karta.png", "A 47898-2023")</f>
        <v/>
      </c>
      <c r="V679">
        <f>HYPERLINK("https://klasma.github.io/Logging_1496/klagomål/A 47898-2023 FSC-klagomål.docx", "A 47898-2023")</f>
        <v/>
      </c>
      <c r="W679">
        <f>HYPERLINK("https://klasma.github.io/Logging_1496/klagomålsmail/A 47898-2023 FSC-klagomål mail.docx", "A 47898-2023")</f>
        <v/>
      </c>
      <c r="X679">
        <f>HYPERLINK("https://klasma.github.io/Logging_1496/tillsyn/A 47898-2023 tillsynsbegäran.docx", "A 47898-2023")</f>
        <v/>
      </c>
      <c r="Y679">
        <f>HYPERLINK("https://klasma.github.io/Logging_1496/tillsynsmail/A 47898-2023 tillsynsbegäran mail.docx", "A 47898-2023")</f>
        <v/>
      </c>
    </row>
    <row r="680" ht="15" customHeight="1">
      <c r="A680" t="inlineStr">
        <is>
          <t>A 3700-2024</t>
        </is>
      </c>
      <c r="B680" s="1" t="n">
        <v>45321</v>
      </c>
      <c r="C680" s="1" t="n">
        <v>46011</v>
      </c>
      <c r="D680" t="inlineStr">
        <is>
          <t>VÄSTRA GÖTALANDS LÄN</t>
        </is>
      </c>
      <c r="E680" t="inlineStr">
        <is>
          <t>FALKÖPING</t>
        </is>
      </c>
      <c r="F680" t="inlineStr">
        <is>
          <t>Kommuner</t>
        </is>
      </c>
      <c r="G680" t="n">
        <v>0.8</v>
      </c>
      <c r="H680" t="n">
        <v>0</v>
      </c>
      <c r="I680" t="n">
        <v>0</v>
      </c>
      <c r="J680" t="n">
        <v>0</v>
      </c>
      <c r="K680" t="n">
        <v>0</v>
      </c>
      <c r="L680" t="n">
        <v>1</v>
      </c>
      <c r="M680" t="n">
        <v>0</v>
      </c>
      <c r="N680" t="n">
        <v>0</v>
      </c>
      <c r="O680" t="n">
        <v>1</v>
      </c>
      <c r="P680" t="n">
        <v>1</v>
      </c>
      <c r="Q680" t="n">
        <v>1</v>
      </c>
      <c r="R680" s="2" t="inlineStr">
        <is>
          <t>Ask</t>
        </is>
      </c>
      <c r="S680">
        <f>HYPERLINK("https://klasma.github.io/Logging_1499/artfynd/A 3700-2024 artfynd.xlsx", "A 3700-2024")</f>
        <v/>
      </c>
      <c r="T680">
        <f>HYPERLINK("https://klasma.github.io/Logging_1499/kartor/A 3700-2024 karta.png", "A 3700-2024")</f>
        <v/>
      </c>
      <c r="V680">
        <f>HYPERLINK("https://klasma.github.io/Logging_1499/klagomål/A 3700-2024 FSC-klagomål.docx", "A 3700-2024")</f>
        <v/>
      </c>
      <c r="W680">
        <f>HYPERLINK("https://klasma.github.io/Logging_1499/klagomålsmail/A 3700-2024 FSC-klagomål mail.docx", "A 3700-2024")</f>
        <v/>
      </c>
      <c r="X680">
        <f>HYPERLINK("https://klasma.github.io/Logging_1499/tillsyn/A 3700-2024 tillsynsbegäran.docx", "A 3700-2024")</f>
        <v/>
      </c>
      <c r="Y680">
        <f>HYPERLINK("https://klasma.github.io/Logging_1499/tillsynsmail/A 3700-2024 tillsynsbegäran mail.docx", "A 3700-2024")</f>
        <v/>
      </c>
    </row>
    <row r="681" ht="15" customHeight="1">
      <c r="A681" t="inlineStr">
        <is>
          <t>A 3772-2024</t>
        </is>
      </c>
      <c r="B681" s="1" t="n">
        <v>45321</v>
      </c>
      <c r="C681" s="1" t="n">
        <v>46011</v>
      </c>
      <c r="D681" t="inlineStr">
        <is>
          <t>VÄSTRA GÖTALANDS LÄN</t>
        </is>
      </c>
      <c r="E681" t="inlineStr">
        <is>
          <t>BORÅS</t>
        </is>
      </c>
      <c r="F681" t="inlineStr">
        <is>
          <t>Kommuner</t>
        </is>
      </c>
      <c r="G681" t="n">
        <v>4.1</v>
      </c>
      <c r="H681" t="n">
        <v>0</v>
      </c>
      <c r="I681" t="n">
        <v>1</v>
      </c>
      <c r="J681" t="n">
        <v>0</v>
      </c>
      <c r="K681" t="n">
        <v>0</v>
      </c>
      <c r="L681" t="n">
        <v>0</v>
      </c>
      <c r="M681" t="n">
        <v>0</v>
      </c>
      <c r="N681" t="n">
        <v>0</v>
      </c>
      <c r="O681" t="n">
        <v>0</v>
      </c>
      <c r="P681" t="n">
        <v>0</v>
      </c>
      <c r="Q681" t="n">
        <v>1</v>
      </c>
      <c r="R681" s="2" t="inlineStr">
        <is>
          <t>Vågbandad barkbock</t>
        </is>
      </c>
      <c r="S681">
        <f>HYPERLINK("https://klasma.github.io/Logging_1490/artfynd/A 3772-2024 artfynd.xlsx", "A 3772-2024")</f>
        <v/>
      </c>
      <c r="T681">
        <f>HYPERLINK("https://klasma.github.io/Logging_1490/kartor/A 3772-2024 karta.png", "A 3772-2024")</f>
        <v/>
      </c>
      <c r="V681">
        <f>HYPERLINK("https://klasma.github.io/Logging_1490/klagomål/A 3772-2024 FSC-klagomål.docx", "A 3772-2024")</f>
        <v/>
      </c>
      <c r="W681">
        <f>HYPERLINK("https://klasma.github.io/Logging_1490/klagomålsmail/A 3772-2024 FSC-klagomål mail.docx", "A 3772-2024")</f>
        <v/>
      </c>
      <c r="X681">
        <f>HYPERLINK("https://klasma.github.io/Logging_1490/tillsyn/A 3772-2024 tillsynsbegäran.docx", "A 3772-2024")</f>
        <v/>
      </c>
      <c r="Y681">
        <f>HYPERLINK("https://klasma.github.io/Logging_1490/tillsynsmail/A 3772-2024 tillsynsbegäran mail.docx", "A 3772-2024")</f>
        <v/>
      </c>
    </row>
    <row r="682" ht="15" customHeight="1">
      <c r="A682" t="inlineStr">
        <is>
          <t>A 17546-2021</t>
        </is>
      </c>
      <c r="B682" s="1" t="n">
        <v>44299</v>
      </c>
      <c r="C682" s="1" t="n">
        <v>46011</v>
      </c>
      <c r="D682" t="inlineStr">
        <is>
          <t>VÄSTRA GÖTALANDS LÄN</t>
        </is>
      </c>
      <c r="E682" t="inlineStr">
        <is>
          <t>SKARA</t>
        </is>
      </c>
      <c r="G682" t="n">
        <v>5.2</v>
      </c>
      <c r="H682" t="n">
        <v>0</v>
      </c>
      <c r="I682" t="n">
        <v>1</v>
      </c>
      <c r="J682" t="n">
        <v>0</v>
      </c>
      <c r="K682" t="n">
        <v>0</v>
      </c>
      <c r="L682" t="n">
        <v>0</v>
      </c>
      <c r="M682" t="n">
        <v>0</v>
      </c>
      <c r="N682" t="n">
        <v>0</v>
      </c>
      <c r="O682" t="n">
        <v>0</v>
      </c>
      <c r="P682" t="n">
        <v>0</v>
      </c>
      <c r="Q682" t="n">
        <v>1</v>
      </c>
      <c r="R682" s="2" t="inlineStr">
        <is>
          <t>Blomkålssvamp</t>
        </is>
      </c>
      <c r="S682">
        <f>HYPERLINK("https://klasma.github.io/Logging_1495/artfynd/A 17546-2021 artfynd.xlsx", "A 17546-2021")</f>
        <v/>
      </c>
      <c r="T682">
        <f>HYPERLINK("https://klasma.github.io/Logging_1495/kartor/A 17546-2021 karta.png", "A 17546-2021")</f>
        <v/>
      </c>
      <c r="V682">
        <f>HYPERLINK("https://klasma.github.io/Logging_1495/klagomål/A 17546-2021 FSC-klagomål.docx", "A 17546-2021")</f>
        <v/>
      </c>
      <c r="W682">
        <f>HYPERLINK("https://klasma.github.io/Logging_1495/klagomålsmail/A 17546-2021 FSC-klagomål mail.docx", "A 17546-2021")</f>
        <v/>
      </c>
      <c r="X682">
        <f>HYPERLINK("https://klasma.github.io/Logging_1495/tillsyn/A 17546-2021 tillsynsbegäran.docx", "A 17546-2021")</f>
        <v/>
      </c>
      <c r="Y682">
        <f>HYPERLINK("https://klasma.github.io/Logging_1495/tillsynsmail/A 17546-2021 tillsynsbegäran mail.docx", "A 17546-2021")</f>
        <v/>
      </c>
    </row>
    <row r="683" ht="15" customHeight="1">
      <c r="A683" t="inlineStr">
        <is>
          <t>A 11709-2024</t>
        </is>
      </c>
      <c r="B683" s="1" t="n">
        <v>45373.61430555556</v>
      </c>
      <c r="C683" s="1" t="n">
        <v>46011</v>
      </c>
      <c r="D683" t="inlineStr">
        <is>
          <t>VÄSTRA GÖTALANDS LÄN</t>
        </is>
      </c>
      <c r="E683" t="inlineStr">
        <is>
          <t>VÄNERSBORG</t>
        </is>
      </c>
      <c r="G683" t="n">
        <v>4.1</v>
      </c>
      <c r="H683" t="n">
        <v>0</v>
      </c>
      <c r="I683" t="n">
        <v>0</v>
      </c>
      <c r="J683" t="n">
        <v>1</v>
      </c>
      <c r="K683" t="n">
        <v>0</v>
      </c>
      <c r="L683" t="n">
        <v>0</v>
      </c>
      <c r="M683" t="n">
        <v>0</v>
      </c>
      <c r="N683" t="n">
        <v>0</v>
      </c>
      <c r="O683" t="n">
        <v>1</v>
      </c>
      <c r="P683" t="n">
        <v>0</v>
      </c>
      <c r="Q683" t="n">
        <v>1</v>
      </c>
      <c r="R683" s="2" t="inlineStr">
        <is>
          <t>Gullklöver</t>
        </is>
      </c>
      <c r="S683">
        <f>HYPERLINK("https://klasma.github.io/Logging_1487/artfynd/A 11709-2024 artfynd.xlsx", "A 11709-2024")</f>
        <v/>
      </c>
      <c r="T683">
        <f>HYPERLINK("https://klasma.github.io/Logging_1487/kartor/A 11709-2024 karta.png", "A 11709-2024")</f>
        <v/>
      </c>
      <c r="V683">
        <f>HYPERLINK("https://klasma.github.io/Logging_1487/klagomål/A 11709-2024 FSC-klagomål.docx", "A 11709-2024")</f>
        <v/>
      </c>
      <c r="W683">
        <f>HYPERLINK("https://klasma.github.io/Logging_1487/klagomålsmail/A 11709-2024 FSC-klagomål mail.docx", "A 11709-2024")</f>
        <v/>
      </c>
      <c r="X683">
        <f>HYPERLINK("https://klasma.github.io/Logging_1487/tillsyn/A 11709-2024 tillsynsbegäran.docx", "A 11709-2024")</f>
        <v/>
      </c>
      <c r="Y683">
        <f>HYPERLINK("https://klasma.github.io/Logging_1487/tillsynsmail/A 11709-2024 tillsynsbegäran mail.docx", "A 11709-2024")</f>
        <v/>
      </c>
    </row>
    <row r="684" ht="15" customHeight="1">
      <c r="A684" t="inlineStr">
        <is>
          <t>A 51629-2024</t>
        </is>
      </c>
      <c r="B684" s="1" t="n">
        <v>45605.45597222223</v>
      </c>
      <c r="C684" s="1" t="n">
        <v>46011</v>
      </c>
      <c r="D684" t="inlineStr">
        <is>
          <t>VÄSTRA GÖTALANDS LÄN</t>
        </is>
      </c>
      <c r="E684" t="inlineStr">
        <is>
          <t>TRANEMO</t>
        </is>
      </c>
      <c r="G684" t="n">
        <v>4.4</v>
      </c>
      <c r="H684" t="n">
        <v>1</v>
      </c>
      <c r="I684" t="n">
        <v>0</v>
      </c>
      <c r="J684" t="n">
        <v>0</v>
      </c>
      <c r="K684" t="n">
        <v>0</v>
      </c>
      <c r="L684" t="n">
        <v>0</v>
      </c>
      <c r="M684" t="n">
        <v>0</v>
      </c>
      <c r="N684" t="n">
        <v>0</v>
      </c>
      <c r="O684" t="n">
        <v>0</v>
      </c>
      <c r="P684" t="n">
        <v>0</v>
      </c>
      <c r="Q684" t="n">
        <v>1</v>
      </c>
      <c r="R684" s="2" t="inlineStr">
        <is>
          <t>Mattlummer</t>
        </is>
      </c>
      <c r="S684">
        <f>HYPERLINK("https://klasma.github.io/Logging_1452/artfynd/A 51629-2024 artfynd.xlsx", "A 51629-2024")</f>
        <v/>
      </c>
      <c r="T684">
        <f>HYPERLINK("https://klasma.github.io/Logging_1452/kartor/A 51629-2024 karta.png", "A 51629-2024")</f>
        <v/>
      </c>
      <c r="V684">
        <f>HYPERLINK("https://klasma.github.io/Logging_1452/klagomål/A 51629-2024 FSC-klagomål.docx", "A 51629-2024")</f>
        <v/>
      </c>
      <c r="W684">
        <f>HYPERLINK("https://klasma.github.io/Logging_1452/klagomålsmail/A 51629-2024 FSC-klagomål mail.docx", "A 51629-2024")</f>
        <v/>
      </c>
      <c r="X684">
        <f>HYPERLINK("https://klasma.github.io/Logging_1452/tillsyn/A 51629-2024 tillsynsbegäran.docx", "A 51629-2024")</f>
        <v/>
      </c>
      <c r="Y684">
        <f>HYPERLINK("https://klasma.github.io/Logging_1452/tillsynsmail/A 51629-2024 tillsynsbegäran mail.docx", "A 51629-2024")</f>
        <v/>
      </c>
    </row>
    <row r="685" ht="15" customHeight="1">
      <c r="A685" t="inlineStr">
        <is>
          <t>A 2824-2025</t>
        </is>
      </c>
      <c r="B685" s="1" t="n">
        <v>45677</v>
      </c>
      <c r="C685" s="1" t="n">
        <v>46011</v>
      </c>
      <c r="D685" t="inlineStr">
        <is>
          <t>VÄSTRA GÖTALANDS LÄN</t>
        </is>
      </c>
      <c r="E685" t="inlineStr">
        <is>
          <t>UDDEVALLA</t>
        </is>
      </c>
      <c r="G685" t="n">
        <v>2.4</v>
      </c>
      <c r="H685" t="n">
        <v>0</v>
      </c>
      <c r="I685" t="n">
        <v>0</v>
      </c>
      <c r="J685" t="n">
        <v>1</v>
      </c>
      <c r="K685" t="n">
        <v>0</v>
      </c>
      <c r="L685" t="n">
        <v>0</v>
      </c>
      <c r="M685" t="n">
        <v>0</v>
      </c>
      <c r="N685" t="n">
        <v>0</v>
      </c>
      <c r="O685" t="n">
        <v>1</v>
      </c>
      <c r="P685" t="n">
        <v>0</v>
      </c>
      <c r="Q685" t="n">
        <v>1</v>
      </c>
      <c r="R685" s="2" t="inlineStr">
        <is>
          <t>Garnlav</t>
        </is>
      </c>
      <c r="S685">
        <f>HYPERLINK("https://klasma.github.io/Logging_1485/artfynd/A 2824-2025 artfynd.xlsx", "A 2824-2025")</f>
        <v/>
      </c>
      <c r="T685">
        <f>HYPERLINK("https://klasma.github.io/Logging_1485/kartor/A 2824-2025 karta.png", "A 2824-2025")</f>
        <v/>
      </c>
      <c r="V685">
        <f>HYPERLINK("https://klasma.github.io/Logging_1485/klagomål/A 2824-2025 FSC-klagomål.docx", "A 2824-2025")</f>
        <v/>
      </c>
      <c r="W685">
        <f>HYPERLINK("https://klasma.github.io/Logging_1485/klagomålsmail/A 2824-2025 FSC-klagomål mail.docx", "A 2824-2025")</f>
        <v/>
      </c>
      <c r="X685">
        <f>HYPERLINK("https://klasma.github.io/Logging_1485/tillsyn/A 2824-2025 tillsynsbegäran.docx", "A 2824-2025")</f>
        <v/>
      </c>
      <c r="Y685">
        <f>HYPERLINK("https://klasma.github.io/Logging_1485/tillsynsmail/A 2824-2025 tillsynsbegäran mail.docx", "A 2824-2025")</f>
        <v/>
      </c>
    </row>
    <row r="686" ht="15" customHeight="1">
      <c r="A686" t="inlineStr">
        <is>
          <t>A 12084-2025</t>
        </is>
      </c>
      <c r="B686" s="1" t="n">
        <v>45728.95387731482</v>
      </c>
      <c r="C686" s="1" t="n">
        <v>46011</v>
      </c>
      <c r="D686" t="inlineStr">
        <is>
          <t>VÄSTRA GÖTALANDS LÄN</t>
        </is>
      </c>
      <c r="E686" t="inlineStr">
        <is>
          <t>ALE</t>
        </is>
      </c>
      <c r="G686" t="n">
        <v>2.4</v>
      </c>
      <c r="H686" t="n">
        <v>1</v>
      </c>
      <c r="I686" t="n">
        <v>0</v>
      </c>
      <c r="J686" t="n">
        <v>1</v>
      </c>
      <c r="K686" t="n">
        <v>0</v>
      </c>
      <c r="L686" t="n">
        <v>0</v>
      </c>
      <c r="M686" t="n">
        <v>0</v>
      </c>
      <c r="N686" t="n">
        <v>0</v>
      </c>
      <c r="O686" t="n">
        <v>1</v>
      </c>
      <c r="P686" t="n">
        <v>0</v>
      </c>
      <c r="Q686" t="n">
        <v>1</v>
      </c>
      <c r="R686" s="2" t="inlineStr">
        <is>
          <t>Spillkråka</t>
        </is>
      </c>
      <c r="S686">
        <f>HYPERLINK("https://klasma.github.io/Logging_1440/artfynd/A 12084-2025 artfynd.xlsx", "A 12084-2025")</f>
        <v/>
      </c>
      <c r="T686">
        <f>HYPERLINK("https://klasma.github.io/Logging_1440/kartor/A 12084-2025 karta.png", "A 12084-2025")</f>
        <v/>
      </c>
      <c r="V686">
        <f>HYPERLINK("https://klasma.github.io/Logging_1440/klagomål/A 12084-2025 FSC-klagomål.docx", "A 12084-2025")</f>
        <v/>
      </c>
      <c r="W686">
        <f>HYPERLINK("https://klasma.github.io/Logging_1440/klagomålsmail/A 12084-2025 FSC-klagomål mail.docx", "A 12084-2025")</f>
        <v/>
      </c>
      <c r="X686">
        <f>HYPERLINK("https://klasma.github.io/Logging_1440/tillsyn/A 12084-2025 tillsynsbegäran.docx", "A 12084-2025")</f>
        <v/>
      </c>
      <c r="Y686">
        <f>HYPERLINK("https://klasma.github.io/Logging_1440/tillsynsmail/A 12084-2025 tillsynsbegäran mail.docx", "A 12084-2025")</f>
        <v/>
      </c>
      <c r="Z686">
        <f>HYPERLINK("https://klasma.github.io/Logging_1440/fåglar/A 12084-2025 prioriterade fågelarter.docx", "A 12084-2025")</f>
        <v/>
      </c>
    </row>
    <row r="687" ht="15" customHeight="1">
      <c r="A687" t="inlineStr">
        <is>
          <t>A 2504-2024</t>
        </is>
      </c>
      <c r="B687" s="1" t="n">
        <v>45313.46119212963</v>
      </c>
      <c r="C687" s="1" t="n">
        <v>46011</v>
      </c>
      <c r="D687" t="inlineStr">
        <is>
          <t>VÄSTRA GÖTALANDS LÄN</t>
        </is>
      </c>
      <c r="E687" t="inlineStr">
        <is>
          <t>BENGTSFORS</t>
        </is>
      </c>
      <c r="G687" t="n">
        <v>1.3</v>
      </c>
      <c r="H687" t="n">
        <v>0</v>
      </c>
      <c r="I687" t="n">
        <v>1</v>
      </c>
      <c r="J687" t="n">
        <v>0</v>
      </c>
      <c r="K687" t="n">
        <v>0</v>
      </c>
      <c r="L687" t="n">
        <v>0</v>
      </c>
      <c r="M687" t="n">
        <v>0</v>
      </c>
      <c r="N687" t="n">
        <v>0</v>
      </c>
      <c r="O687" t="n">
        <v>0</v>
      </c>
      <c r="P687" t="n">
        <v>0</v>
      </c>
      <c r="Q687" t="n">
        <v>1</v>
      </c>
      <c r="R687" s="2" t="inlineStr">
        <is>
          <t>Strutbräken</t>
        </is>
      </c>
      <c r="S687">
        <f>HYPERLINK("https://klasma.github.io/Logging_1460/artfynd/A 2504-2024 artfynd.xlsx", "A 2504-2024")</f>
        <v/>
      </c>
      <c r="T687">
        <f>HYPERLINK("https://klasma.github.io/Logging_1460/kartor/A 2504-2024 karta.png", "A 2504-2024")</f>
        <v/>
      </c>
      <c r="V687">
        <f>HYPERLINK("https://klasma.github.io/Logging_1460/klagomål/A 2504-2024 FSC-klagomål.docx", "A 2504-2024")</f>
        <v/>
      </c>
      <c r="W687">
        <f>HYPERLINK("https://klasma.github.io/Logging_1460/klagomålsmail/A 2504-2024 FSC-klagomål mail.docx", "A 2504-2024")</f>
        <v/>
      </c>
      <c r="X687">
        <f>HYPERLINK("https://klasma.github.io/Logging_1460/tillsyn/A 2504-2024 tillsynsbegäran.docx", "A 2504-2024")</f>
        <v/>
      </c>
      <c r="Y687">
        <f>HYPERLINK("https://klasma.github.io/Logging_1460/tillsynsmail/A 2504-2024 tillsynsbegäran mail.docx", "A 2504-2024")</f>
        <v/>
      </c>
    </row>
    <row r="688" ht="15" customHeight="1">
      <c r="A688" t="inlineStr">
        <is>
          <t>A 13277-2022</t>
        </is>
      </c>
      <c r="B688" s="1" t="n">
        <v>44644</v>
      </c>
      <c r="C688" s="1" t="n">
        <v>46011</v>
      </c>
      <c r="D688" t="inlineStr">
        <is>
          <t>VÄSTRA GÖTALANDS LÄN</t>
        </is>
      </c>
      <c r="E688" t="inlineStr">
        <is>
          <t>TRANEMO</t>
        </is>
      </c>
      <c r="G688" t="n">
        <v>4.1</v>
      </c>
      <c r="H688" t="n">
        <v>0</v>
      </c>
      <c r="I688" t="n">
        <v>1</v>
      </c>
      <c r="J688" t="n">
        <v>0</v>
      </c>
      <c r="K688" t="n">
        <v>0</v>
      </c>
      <c r="L688" t="n">
        <v>0</v>
      </c>
      <c r="M688" t="n">
        <v>0</v>
      </c>
      <c r="N688" t="n">
        <v>0</v>
      </c>
      <c r="O688" t="n">
        <v>0</v>
      </c>
      <c r="P688" t="n">
        <v>0</v>
      </c>
      <c r="Q688" t="n">
        <v>1</v>
      </c>
      <c r="R688" s="2" t="inlineStr">
        <is>
          <t>Kattfotslav</t>
        </is>
      </c>
      <c r="S688">
        <f>HYPERLINK("https://klasma.github.io/Logging_1452/artfynd/A 13277-2022 artfynd.xlsx", "A 13277-2022")</f>
        <v/>
      </c>
      <c r="T688">
        <f>HYPERLINK("https://klasma.github.io/Logging_1452/kartor/A 13277-2022 karta.png", "A 13277-2022")</f>
        <v/>
      </c>
      <c r="V688">
        <f>HYPERLINK("https://klasma.github.io/Logging_1452/klagomål/A 13277-2022 FSC-klagomål.docx", "A 13277-2022")</f>
        <v/>
      </c>
      <c r="W688">
        <f>HYPERLINK("https://klasma.github.io/Logging_1452/klagomålsmail/A 13277-2022 FSC-klagomål mail.docx", "A 13277-2022")</f>
        <v/>
      </c>
      <c r="X688">
        <f>HYPERLINK("https://klasma.github.io/Logging_1452/tillsyn/A 13277-2022 tillsynsbegäran.docx", "A 13277-2022")</f>
        <v/>
      </c>
      <c r="Y688">
        <f>HYPERLINK("https://klasma.github.io/Logging_1452/tillsynsmail/A 13277-2022 tillsynsbegäran mail.docx", "A 13277-2022")</f>
        <v/>
      </c>
    </row>
    <row r="689" ht="15" customHeight="1">
      <c r="A689" t="inlineStr">
        <is>
          <t>A 16347-2025</t>
        </is>
      </c>
      <c r="B689" s="1" t="n">
        <v>45751.37494212963</v>
      </c>
      <c r="C689" s="1" t="n">
        <v>46011</v>
      </c>
      <c r="D689" t="inlineStr">
        <is>
          <t>VÄSTRA GÖTALANDS LÄN</t>
        </is>
      </c>
      <c r="E689" t="inlineStr">
        <is>
          <t>UDDEVALLA</t>
        </is>
      </c>
      <c r="G689" t="n">
        <v>3.8</v>
      </c>
      <c r="H689" t="n">
        <v>0</v>
      </c>
      <c r="I689" t="n">
        <v>1</v>
      </c>
      <c r="J689" t="n">
        <v>0</v>
      </c>
      <c r="K689" t="n">
        <v>0</v>
      </c>
      <c r="L689" t="n">
        <v>0</v>
      </c>
      <c r="M689" t="n">
        <v>0</v>
      </c>
      <c r="N689" t="n">
        <v>0</v>
      </c>
      <c r="O689" t="n">
        <v>0</v>
      </c>
      <c r="P689" t="n">
        <v>0</v>
      </c>
      <c r="Q689" t="n">
        <v>1</v>
      </c>
      <c r="R689" s="2" t="inlineStr">
        <is>
          <t>Klibbtickgnagare</t>
        </is>
      </c>
      <c r="S689">
        <f>HYPERLINK("https://klasma.github.io/Logging_1485/artfynd/A 16347-2025 artfynd.xlsx", "A 16347-2025")</f>
        <v/>
      </c>
      <c r="T689">
        <f>HYPERLINK("https://klasma.github.io/Logging_1485/kartor/A 16347-2025 karta.png", "A 16347-2025")</f>
        <v/>
      </c>
      <c r="V689">
        <f>HYPERLINK("https://klasma.github.io/Logging_1485/klagomål/A 16347-2025 FSC-klagomål.docx", "A 16347-2025")</f>
        <v/>
      </c>
      <c r="W689">
        <f>HYPERLINK("https://klasma.github.io/Logging_1485/klagomålsmail/A 16347-2025 FSC-klagomål mail.docx", "A 16347-2025")</f>
        <v/>
      </c>
      <c r="X689">
        <f>HYPERLINK("https://klasma.github.io/Logging_1485/tillsyn/A 16347-2025 tillsynsbegäran.docx", "A 16347-2025")</f>
        <v/>
      </c>
      <c r="Y689">
        <f>HYPERLINK("https://klasma.github.io/Logging_1485/tillsynsmail/A 16347-2025 tillsynsbegäran mail.docx", "A 16347-2025")</f>
        <v/>
      </c>
    </row>
    <row r="690" ht="15" customHeight="1">
      <c r="A690" t="inlineStr">
        <is>
          <t>A 55174-2024</t>
        </is>
      </c>
      <c r="B690" s="1" t="n">
        <v>45621.529375</v>
      </c>
      <c r="C690" s="1" t="n">
        <v>46011</v>
      </c>
      <c r="D690" t="inlineStr">
        <is>
          <t>VÄSTRA GÖTALANDS LÄN</t>
        </is>
      </c>
      <c r="E690" t="inlineStr">
        <is>
          <t>TÖREBODA</t>
        </is>
      </c>
      <c r="G690" t="n">
        <v>5.4</v>
      </c>
      <c r="H690" t="n">
        <v>0</v>
      </c>
      <c r="I690" t="n">
        <v>1</v>
      </c>
      <c r="J690" t="n">
        <v>0</v>
      </c>
      <c r="K690" t="n">
        <v>0</v>
      </c>
      <c r="L690" t="n">
        <v>0</v>
      </c>
      <c r="M690" t="n">
        <v>0</v>
      </c>
      <c r="N690" t="n">
        <v>0</v>
      </c>
      <c r="O690" t="n">
        <v>0</v>
      </c>
      <c r="P690" t="n">
        <v>0</v>
      </c>
      <c r="Q690" t="n">
        <v>1</v>
      </c>
      <c r="R690" s="2" t="inlineStr">
        <is>
          <t>Västlig hakmossa</t>
        </is>
      </c>
      <c r="S690">
        <f>HYPERLINK("https://klasma.github.io/Logging_1473/artfynd/A 55174-2024 artfynd.xlsx", "A 55174-2024")</f>
        <v/>
      </c>
      <c r="T690">
        <f>HYPERLINK("https://klasma.github.io/Logging_1473/kartor/A 55174-2024 karta.png", "A 55174-2024")</f>
        <v/>
      </c>
      <c r="V690">
        <f>HYPERLINK("https://klasma.github.io/Logging_1473/klagomål/A 55174-2024 FSC-klagomål.docx", "A 55174-2024")</f>
        <v/>
      </c>
      <c r="W690">
        <f>HYPERLINK("https://klasma.github.io/Logging_1473/klagomålsmail/A 55174-2024 FSC-klagomål mail.docx", "A 55174-2024")</f>
        <v/>
      </c>
      <c r="X690">
        <f>HYPERLINK("https://klasma.github.io/Logging_1473/tillsyn/A 55174-2024 tillsynsbegäran.docx", "A 55174-2024")</f>
        <v/>
      </c>
      <c r="Y690">
        <f>HYPERLINK("https://klasma.github.io/Logging_1473/tillsynsmail/A 55174-2024 tillsynsbegäran mail.docx", "A 55174-2024")</f>
        <v/>
      </c>
    </row>
    <row r="691" ht="15" customHeight="1">
      <c r="A691" t="inlineStr">
        <is>
          <t>A 34766-2023</t>
        </is>
      </c>
      <c r="B691" s="1" t="n">
        <v>45140</v>
      </c>
      <c r="C691" s="1" t="n">
        <v>46011</v>
      </c>
      <c r="D691" t="inlineStr">
        <is>
          <t>VÄSTRA GÖTALANDS LÄN</t>
        </is>
      </c>
      <c r="E691" t="inlineStr">
        <is>
          <t>ULRICEHAMN</t>
        </is>
      </c>
      <c r="G691" t="n">
        <v>17.6</v>
      </c>
      <c r="H691" t="n">
        <v>0</v>
      </c>
      <c r="I691" t="n">
        <v>1</v>
      </c>
      <c r="J691" t="n">
        <v>0</v>
      </c>
      <c r="K691" t="n">
        <v>0</v>
      </c>
      <c r="L691" t="n">
        <v>0</v>
      </c>
      <c r="M691" t="n">
        <v>0</v>
      </c>
      <c r="N691" t="n">
        <v>0</v>
      </c>
      <c r="O691" t="n">
        <v>0</v>
      </c>
      <c r="P691" t="n">
        <v>0</v>
      </c>
      <c r="Q691" t="n">
        <v>1</v>
      </c>
      <c r="R691" s="2" t="inlineStr">
        <is>
          <t>Tibast</t>
        </is>
      </c>
      <c r="S691">
        <f>HYPERLINK("https://klasma.github.io/Logging_1491/artfynd/A 34766-2023 artfynd.xlsx", "A 34766-2023")</f>
        <v/>
      </c>
      <c r="T691">
        <f>HYPERLINK("https://klasma.github.io/Logging_1491/kartor/A 34766-2023 karta.png", "A 34766-2023")</f>
        <v/>
      </c>
      <c r="V691">
        <f>HYPERLINK("https://klasma.github.io/Logging_1491/klagomål/A 34766-2023 FSC-klagomål.docx", "A 34766-2023")</f>
        <v/>
      </c>
      <c r="W691">
        <f>HYPERLINK("https://klasma.github.io/Logging_1491/klagomålsmail/A 34766-2023 FSC-klagomål mail.docx", "A 34766-2023")</f>
        <v/>
      </c>
      <c r="X691">
        <f>HYPERLINK("https://klasma.github.io/Logging_1491/tillsyn/A 34766-2023 tillsynsbegäran.docx", "A 34766-2023")</f>
        <v/>
      </c>
      <c r="Y691">
        <f>HYPERLINK("https://klasma.github.io/Logging_1491/tillsynsmail/A 34766-2023 tillsynsbegäran mail.docx", "A 34766-2023")</f>
        <v/>
      </c>
    </row>
    <row r="692" ht="15" customHeight="1">
      <c r="A692" t="inlineStr">
        <is>
          <t>A 33955-2023</t>
        </is>
      </c>
      <c r="B692" s="1" t="n">
        <v>45134.59957175926</v>
      </c>
      <c r="C692" s="1" t="n">
        <v>46011</v>
      </c>
      <c r="D692" t="inlineStr">
        <is>
          <t>VÄSTRA GÖTALANDS LÄN</t>
        </is>
      </c>
      <c r="E692" t="inlineStr">
        <is>
          <t>MARK</t>
        </is>
      </c>
      <c r="G692" t="n">
        <v>10.7</v>
      </c>
      <c r="H692" t="n">
        <v>0</v>
      </c>
      <c r="I692" t="n">
        <v>1</v>
      </c>
      <c r="J692" t="n">
        <v>0</v>
      </c>
      <c r="K692" t="n">
        <v>0</v>
      </c>
      <c r="L692" t="n">
        <v>0</v>
      </c>
      <c r="M692" t="n">
        <v>0</v>
      </c>
      <c r="N692" t="n">
        <v>0</v>
      </c>
      <c r="O692" t="n">
        <v>0</v>
      </c>
      <c r="P692" t="n">
        <v>0</v>
      </c>
      <c r="Q692" t="n">
        <v>1</v>
      </c>
      <c r="R692" s="2" t="inlineStr">
        <is>
          <t>Brandticka</t>
        </is>
      </c>
      <c r="S692">
        <f>HYPERLINK("https://klasma.github.io/Logging_1463/artfynd/A 33955-2023 artfynd.xlsx", "A 33955-2023")</f>
        <v/>
      </c>
      <c r="T692">
        <f>HYPERLINK("https://klasma.github.io/Logging_1463/kartor/A 33955-2023 karta.png", "A 33955-2023")</f>
        <v/>
      </c>
      <c r="V692">
        <f>HYPERLINK("https://klasma.github.io/Logging_1463/klagomål/A 33955-2023 FSC-klagomål.docx", "A 33955-2023")</f>
        <v/>
      </c>
      <c r="W692">
        <f>HYPERLINK("https://klasma.github.io/Logging_1463/klagomålsmail/A 33955-2023 FSC-klagomål mail.docx", "A 33955-2023")</f>
        <v/>
      </c>
      <c r="X692">
        <f>HYPERLINK("https://klasma.github.io/Logging_1463/tillsyn/A 33955-2023 tillsynsbegäran.docx", "A 33955-2023")</f>
        <v/>
      </c>
      <c r="Y692">
        <f>HYPERLINK("https://klasma.github.io/Logging_1463/tillsynsmail/A 33955-2023 tillsynsbegäran mail.docx", "A 33955-2023")</f>
        <v/>
      </c>
    </row>
    <row r="693" ht="15" customHeight="1">
      <c r="A693" t="inlineStr">
        <is>
          <t>A 1647-2025</t>
        </is>
      </c>
      <c r="B693" s="1" t="n">
        <v>45670</v>
      </c>
      <c r="C693" s="1" t="n">
        <v>46011</v>
      </c>
      <c r="D693" t="inlineStr">
        <is>
          <t>VÄSTRA GÖTALANDS LÄN</t>
        </is>
      </c>
      <c r="E693" t="inlineStr">
        <is>
          <t>MUNKEDAL</t>
        </is>
      </c>
      <c r="F693" t="inlineStr">
        <is>
          <t>Övriga Aktiebolag</t>
        </is>
      </c>
      <c r="G693" t="n">
        <v>19.8</v>
      </c>
      <c r="H693" t="n">
        <v>1</v>
      </c>
      <c r="I693" t="n">
        <v>0</v>
      </c>
      <c r="J693" t="n">
        <v>0</v>
      </c>
      <c r="K693" t="n">
        <v>0</v>
      </c>
      <c r="L693" t="n">
        <v>0</v>
      </c>
      <c r="M693" t="n">
        <v>0</v>
      </c>
      <c r="N693" t="n">
        <v>0</v>
      </c>
      <c r="O693" t="n">
        <v>0</v>
      </c>
      <c r="P693" t="n">
        <v>0</v>
      </c>
      <c r="Q693" t="n">
        <v>1</v>
      </c>
      <c r="R693" s="2" t="inlineStr">
        <is>
          <t>Mattlummer</t>
        </is>
      </c>
      <c r="S693">
        <f>HYPERLINK("https://klasma.github.io/Logging_1430/artfynd/A 1647-2025 artfynd.xlsx", "A 1647-2025")</f>
        <v/>
      </c>
      <c r="T693">
        <f>HYPERLINK("https://klasma.github.io/Logging_1430/kartor/A 1647-2025 karta.png", "A 1647-2025")</f>
        <v/>
      </c>
      <c r="V693">
        <f>HYPERLINK("https://klasma.github.io/Logging_1430/klagomål/A 1647-2025 FSC-klagomål.docx", "A 1647-2025")</f>
        <v/>
      </c>
      <c r="W693">
        <f>HYPERLINK("https://klasma.github.io/Logging_1430/klagomålsmail/A 1647-2025 FSC-klagomål mail.docx", "A 1647-2025")</f>
        <v/>
      </c>
      <c r="X693">
        <f>HYPERLINK("https://klasma.github.io/Logging_1430/tillsyn/A 1647-2025 tillsynsbegäran.docx", "A 1647-2025")</f>
        <v/>
      </c>
      <c r="Y693">
        <f>HYPERLINK("https://klasma.github.io/Logging_1430/tillsynsmail/A 1647-2025 tillsynsbegäran mail.docx", "A 1647-2025")</f>
        <v/>
      </c>
    </row>
    <row r="694" ht="15" customHeight="1">
      <c r="A694" t="inlineStr">
        <is>
          <t>A 24894-2024</t>
        </is>
      </c>
      <c r="B694" s="1" t="n">
        <v>45461.57582175926</v>
      </c>
      <c r="C694" s="1" t="n">
        <v>46011</v>
      </c>
      <c r="D694" t="inlineStr">
        <is>
          <t>VÄSTRA GÖTALANDS LÄN</t>
        </is>
      </c>
      <c r="E694" t="inlineStr">
        <is>
          <t>MELLERUD</t>
        </is>
      </c>
      <c r="G694" t="n">
        <v>2.1</v>
      </c>
      <c r="H694" t="n">
        <v>0</v>
      </c>
      <c r="I694" t="n">
        <v>0</v>
      </c>
      <c r="J694" t="n">
        <v>1</v>
      </c>
      <c r="K694" t="n">
        <v>0</v>
      </c>
      <c r="L694" t="n">
        <v>0</v>
      </c>
      <c r="M694" t="n">
        <v>0</v>
      </c>
      <c r="N694" t="n">
        <v>0</v>
      </c>
      <c r="O694" t="n">
        <v>1</v>
      </c>
      <c r="P694" t="n">
        <v>0</v>
      </c>
      <c r="Q694" t="n">
        <v>1</v>
      </c>
      <c r="R694" s="2" t="inlineStr">
        <is>
          <t>Klasefibbla</t>
        </is>
      </c>
      <c r="S694">
        <f>HYPERLINK("https://klasma.github.io/Logging_1461/artfynd/A 24894-2024 artfynd.xlsx", "A 24894-2024")</f>
        <v/>
      </c>
      <c r="T694">
        <f>HYPERLINK("https://klasma.github.io/Logging_1461/kartor/A 24894-2024 karta.png", "A 24894-2024")</f>
        <v/>
      </c>
      <c r="V694">
        <f>HYPERLINK("https://klasma.github.io/Logging_1461/klagomål/A 24894-2024 FSC-klagomål.docx", "A 24894-2024")</f>
        <v/>
      </c>
      <c r="W694">
        <f>HYPERLINK("https://klasma.github.io/Logging_1461/klagomålsmail/A 24894-2024 FSC-klagomål mail.docx", "A 24894-2024")</f>
        <v/>
      </c>
      <c r="X694">
        <f>HYPERLINK("https://klasma.github.io/Logging_1461/tillsyn/A 24894-2024 tillsynsbegäran.docx", "A 24894-2024")</f>
        <v/>
      </c>
      <c r="Y694">
        <f>HYPERLINK("https://klasma.github.io/Logging_1461/tillsynsmail/A 24894-2024 tillsynsbegäran mail.docx", "A 24894-2024")</f>
        <v/>
      </c>
    </row>
    <row r="695" ht="15" customHeight="1">
      <c r="A695" t="inlineStr">
        <is>
          <t>A 36596-2023</t>
        </is>
      </c>
      <c r="B695" s="1" t="n">
        <v>45153</v>
      </c>
      <c r="C695" s="1" t="n">
        <v>46011</v>
      </c>
      <c r="D695" t="inlineStr">
        <is>
          <t>VÄSTRA GÖTALANDS LÄN</t>
        </is>
      </c>
      <c r="E695" t="inlineStr">
        <is>
          <t>BORÅS</t>
        </is>
      </c>
      <c r="G695" t="n">
        <v>1.5</v>
      </c>
      <c r="H695" t="n">
        <v>1</v>
      </c>
      <c r="I695" t="n">
        <v>0</v>
      </c>
      <c r="J695" t="n">
        <v>0</v>
      </c>
      <c r="K695" t="n">
        <v>0</v>
      </c>
      <c r="L695" t="n">
        <v>0</v>
      </c>
      <c r="M695" t="n">
        <v>0</v>
      </c>
      <c r="N695" t="n">
        <v>0</v>
      </c>
      <c r="O695" t="n">
        <v>0</v>
      </c>
      <c r="P695" t="n">
        <v>0</v>
      </c>
      <c r="Q695" t="n">
        <v>1</v>
      </c>
      <c r="R695" s="2" t="inlineStr">
        <is>
          <t>Grönvit nattviol</t>
        </is>
      </c>
      <c r="S695">
        <f>HYPERLINK("https://klasma.github.io/Logging_1490/artfynd/A 36596-2023 artfynd.xlsx", "A 36596-2023")</f>
        <v/>
      </c>
      <c r="T695">
        <f>HYPERLINK("https://klasma.github.io/Logging_1490/kartor/A 36596-2023 karta.png", "A 36596-2023")</f>
        <v/>
      </c>
      <c r="V695">
        <f>HYPERLINK("https://klasma.github.io/Logging_1490/klagomål/A 36596-2023 FSC-klagomål.docx", "A 36596-2023")</f>
        <v/>
      </c>
      <c r="W695">
        <f>HYPERLINK("https://klasma.github.io/Logging_1490/klagomålsmail/A 36596-2023 FSC-klagomål mail.docx", "A 36596-2023")</f>
        <v/>
      </c>
      <c r="X695">
        <f>HYPERLINK("https://klasma.github.io/Logging_1490/tillsyn/A 36596-2023 tillsynsbegäran.docx", "A 36596-2023")</f>
        <v/>
      </c>
      <c r="Y695">
        <f>HYPERLINK("https://klasma.github.io/Logging_1490/tillsynsmail/A 36596-2023 tillsynsbegäran mail.docx", "A 36596-2023")</f>
        <v/>
      </c>
    </row>
    <row r="696" ht="15" customHeight="1">
      <c r="A696" t="inlineStr">
        <is>
          <t>A 36645-2023</t>
        </is>
      </c>
      <c r="B696" s="1" t="n">
        <v>45153.55381944445</v>
      </c>
      <c r="C696" s="1" t="n">
        <v>46011</v>
      </c>
      <c r="D696" t="inlineStr">
        <is>
          <t>VÄSTRA GÖTALANDS LÄN</t>
        </is>
      </c>
      <c r="E696" t="inlineStr">
        <is>
          <t>FÄRGELANDA</t>
        </is>
      </c>
      <c r="G696" t="n">
        <v>6.6</v>
      </c>
      <c r="H696" t="n">
        <v>1</v>
      </c>
      <c r="I696" t="n">
        <v>1</v>
      </c>
      <c r="J696" t="n">
        <v>0</v>
      </c>
      <c r="K696" t="n">
        <v>0</v>
      </c>
      <c r="L696" t="n">
        <v>0</v>
      </c>
      <c r="M696" t="n">
        <v>0</v>
      </c>
      <c r="N696" t="n">
        <v>0</v>
      </c>
      <c r="O696" t="n">
        <v>0</v>
      </c>
      <c r="P696" t="n">
        <v>0</v>
      </c>
      <c r="Q696" t="n">
        <v>1</v>
      </c>
      <c r="R696" s="2" t="inlineStr">
        <is>
          <t>Spindelblomster</t>
        </is>
      </c>
      <c r="S696">
        <f>HYPERLINK("https://klasma.github.io/Logging_1439/artfynd/A 36645-2023 artfynd.xlsx", "A 36645-2023")</f>
        <v/>
      </c>
      <c r="T696">
        <f>HYPERLINK("https://klasma.github.io/Logging_1439/kartor/A 36645-2023 karta.png", "A 36645-2023")</f>
        <v/>
      </c>
      <c r="V696">
        <f>HYPERLINK("https://klasma.github.io/Logging_1439/klagomål/A 36645-2023 FSC-klagomål.docx", "A 36645-2023")</f>
        <v/>
      </c>
      <c r="W696">
        <f>HYPERLINK("https://klasma.github.io/Logging_1439/klagomålsmail/A 36645-2023 FSC-klagomål mail.docx", "A 36645-2023")</f>
        <v/>
      </c>
      <c r="X696">
        <f>HYPERLINK("https://klasma.github.io/Logging_1439/tillsyn/A 36645-2023 tillsynsbegäran.docx", "A 36645-2023")</f>
        <v/>
      </c>
      <c r="Y696">
        <f>HYPERLINK("https://klasma.github.io/Logging_1439/tillsynsmail/A 36645-2023 tillsynsbegäran mail.docx", "A 36645-2023")</f>
        <v/>
      </c>
    </row>
    <row r="697" ht="15" customHeight="1">
      <c r="A697" t="inlineStr">
        <is>
          <t>A 18959-2022</t>
        </is>
      </c>
      <c r="B697" s="1" t="n">
        <v>44690</v>
      </c>
      <c r="C697" s="1" t="n">
        <v>46011</v>
      </c>
      <c r="D697" t="inlineStr">
        <is>
          <t>VÄSTRA GÖTALANDS LÄN</t>
        </is>
      </c>
      <c r="E697" t="inlineStr">
        <is>
          <t>ULRICEHAMN</t>
        </is>
      </c>
      <c r="F697" t="inlineStr">
        <is>
          <t>Kommuner</t>
        </is>
      </c>
      <c r="G697" t="n">
        <v>5.8</v>
      </c>
      <c r="H697" t="n">
        <v>1</v>
      </c>
      <c r="I697" t="n">
        <v>0</v>
      </c>
      <c r="J697" t="n">
        <v>0</v>
      </c>
      <c r="K697" t="n">
        <v>0</v>
      </c>
      <c r="L697" t="n">
        <v>0</v>
      </c>
      <c r="M697" t="n">
        <v>0</v>
      </c>
      <c r="N697" t="n">
        <v>0</v>
      </c>
      <c r="O697" t="n">
        <v>0</v>
      </c>
      <c r="P697" t="n">
        <v>0</v>
      </c>
      <c r="Q697" t="n">
        <v>1</v>
      </c>
      <c r="R697" s="2" t="inlineStr">
        <is>
          <t>Hasselmus</t>
        </is>
      </c>
      <c r="S697">
        <f>HYPERLINK("https://klasma.github.io/Logging_1491/artfynd/A 18959-2022 artfynd.xlsx", "A 18959-2022")</f>
        <v/>
      </c>
      <c r="T697">
        <f>HYPERLINK("https://klasma.github.io/Logging_1491/kartor/A 18959-2022 karta.png", "A 18959-2022")</f>
        <v/>
      </c>
      <c r="V697">
        <f>HYPERLINK("https://klasma.github.io/Logging_1491/klagomål/A 18959-2022 FSC-klagomål.docx", "A 18959-2022")</f>
        <v/>
      </c>
      <c r="W697">
        <f>HYPERLINK("https://klasma.github.io/Logging_1491/klagomålsmail/A 18959-2022 FSC-klagomål mail.docx", "A 18959-2022")</f>
        <v/>
      </c>
      <c r="X697">
        <f>HYPERLINK("https://klasma.github.io/Logging_1491/tillsyn/A 18959-2022 tillsynsbegäran.docx", "A 18959-2022")</f>
        <v/>
      </c>
      <c r="Y697">
        <f>HYPERLINK("https://klasma.github.io/Logging_1491/tillsynsmail/A 18959-2022 tillsynsbegäran mail.docx", "A 18959-2022")</f>
        <v/>
      </c>
    </row>
    <row r="698" ht="15" customHeight="1">
      <c r="A698" t="inlineStr">
        <is>
          <t>A 51531-2023</t>
        </is>
      </c>
      <c r="B698" s="1" t="n">
        <v>45222</v>
      </c>
      <c r="C698" s="1" t="n">
        <v>46011</v>
      </c>
      <c r="D698" t="inlineStr">
        <is>
          <t>VÄSTRA GÖTALANDS LÄN</t>
        </is>
      </c>
      <c r="E698" t="inlineStr">
        <is>
          <t>KARLSBORG</t>
        </is>
      </c>
      <c r="F698" t="inlineStr">
        <is>
          <t>Kommuner</t>
        </is>
      </c>
      <c r="G698" t="n">
        <v>11.2</v>
      </c>
      <c r="H698" t="n">
        <v>1</v>
      </c>
      <c r="I698" t="n">
        <v>0</v>
      </c>
      <c r="J698" t="n">
        <v>0</v>
      </c>
      <c r="K698" t="n">
        <v>0</v>
      </c>
      <c r="L698" t="n">
        <v>0</v>
      </c>
      <c r="M698" t="n">
        <v>0</v>
      </c>
      <c r="N698" t="n">
        <v>0</v>
      </c>
      <c r="O698" t="n">
        <v>0</v>
      </c>
      <c r="P698" t="n">
        <v>0</v>
      </c>
      <c r="Q698" t="n">
        <v>1</v>
      </c>
      <c r="R698" s="2" t="inlineStr">
        <is>
          <t>Revlummer</t>
        </is>
      </c>
      <c r="S698">
        <f>HYPERLINK("https://klasma.github.io/Logging_1446/artfynd/A 51531-2023 artfynd.xlsx", "A 51531-2023")</f>
        <v/>
      </c>
      <c r="T698">
        <f>HYPERLINK("https://klasma.github.io/Logging_1446/kartor/A 51531-2023 karta.png", "A 51531-2023")</f>
        <v/>
      </c>
      <c r="V698">
        <f>HYPERLINK("https://klasma.github.io/Logging_1446/klagomål/A 51531-2023 FSC-klagomål.docx", "A 51531-2023")</f>
        <v/>
      </c>
      <c r="W698">
        <f>HYPERLINK("https://klasma.github.io/Logging_1446/klagomålsmail/A 51531-2023 FSC-klagomål mail.docx", "A 51531-2023")</f>
        <v/>
      </c>
      <c r="X698">
        <f>HYPERLINK("https://klasma.github.io/Logging_1446/tillsyn/A 51531-2023 tillsynsbegäran.docx", "A 51531-2023")</f>
        <v/>
      </c>
      <c r="Y698">
        <f>HYPERLINK("https://klasma.github.io/Logging_1446/tillsynsmail/A 51531-2023 tillsynsbegäran mail.docx", "A 51531-2023")</f>
        <v/>
      </c>
    </row>
    <row r="699" ht="15" customHeight="1">
      <c r="A699" t="inlineStr">
        <is>
          <t>A 39804-2021</t>
        </is>
      </c>
      <c r="B699" s="1" t="n">
        <v>44417</v>
      </c>
      <c r="C699" s="1" t="n">
        <v>46011</v>
      </c>
      <c r="D699" t="inlineStr">
        <is>
          <t>VÄSTRA GÖTALANDS LÄN</t>
        </is>
      </c>
      <c r="E699" t="inlineStr">
        <is>
          <t>BENGTSFORS</t>
        </is>
      </c>
      <c r="G699" t="n">
        <v>4</v>
      </c>
      <c r="H699" t="n">
        <v>0</v>
      </c>
      <c r="I699" t="n">
        <v>1</v>
      </c>
      <c r="J699" t="n">
        <v>0</v>
      </c>
      <c r="K699" t="n">
        <v>0</v>
      </c>
      <c r="L699" t="n">
        <v>0</v>
      </c>
      <c r="M699" t="n">
        <v>0</v>
      </c>
      <c r="N699" t="n">
        <v>0</v>
      </c>
      <c r="O699" t="n">
        <v>0</v>
      </c>
      <c r="P699" t="n">
        <v>0</v>
      </c>
      <c r="Q699" t="n">
        <v>1</v>
      </c>
      <c r="R699" s="2" t="inlineStr">
        <is>
          <t>Kambräken</t>
        </is>
      </c>
      <c r="S699">
        <f>HYPERLINK("https://klasma.github.io/Logging_1460/artfynd/A 39804-2021 artfynd.xlsx", "A 39804-2021")</f>
        <v/>
      </c>
      <c r="T699">
        <f>HYPERLINK("https://klasma.github.io/Logging_1460/kartor/A 39804-2021 karta.png", "A 39804-2021")</f>
        <v/>
      </c>
      <c r="V699">
        <f>HYPERLINK("https://klasma.github.io/Logging_1460/klagomål/A 39804-2021 FSC-klagomål.docx", "A 39804-2021")</f>
        <v/>
      </c>
      <c r="W699">
        <f>HYPERLINK("https://klasma.github.io/Logging_1460/klagomålsmail/A 39804-2021 FSC-klagomål mail.docx", "A 39804-2021")</f>
        <v/>
      </c>
      <c r="X699">
        <f>HYPERLINK("https://klasma.github.io/Logging_1460/tillsyn/A 39804-2021 tillsynsbegäran.docx", "A 39804-2021")</f>
        <v/>
      </c>
      <c r="Y699">
        <f>HYPERLINK("https://klasma.github.io/Logging_1460/tillsynsmail/A 39804-2021 tillsynsbegäran mail.docx", "A 39804-2021")</f>
        <v/>
      </c>
    </row>
    <row r="700" ht="15" customHeight="1">
      <c r="A700" t="inlineStr">
        <is>
          <t>A 29204-2022</t>
        </is>
      </c>
      <c r="B700" s="1" t="n">
        <v>44750.56575231482</v>
      </c>
      <c r="C700" s="1" t="n">
        <v>46011</v>
      </c>
      <c r="D700" t="inlineStr">
        <is>
          <t>VÄSTRA GÖTALANDS LÄN</t>
        </is>
      </c>
      <c r="E700" t="inlineStr">
        <is>
          <t>BENGTSFORS</t>
        </is>
      </c>
      <c r="G700" t="n">
        <v>3.7</v>
      </c>
      <c r="H700" t="n">
        <v>1</v>
      </c>
      <c r="I700" t="n">
        <v>0</v>
      </c>
      <c r="J700" t="n">
        <v>1</v>
      </c>
      <c r="K700" t="n">
        <v>0</v>
      </c>
      <c r="L700" t="n">
        <v>0</v>
      </c>
      <c r="M700" t="n">
        <v>0</v>
      </c>
      <c r="N700" t="n">
        <v>0</v>
      </c>
      <c r="O700" t="n">
        <v>1</v>
      </c>
      <c r="P700" t="n">
        <v>0</v>
      </c>
      <c r="Q700" t="n">
        <v>1</v>
      </c>
      <c r="R700" s="2" t="inlineStr">
        <is>
          <t>Spillkråka</t>
        </is>
      </c>
      <c r="S700">
        <f>HYPERLINK("https://klasma.github.io/Logging_1460/artfynd/A 29204-2022 artfynd.xlsx", "A 29204-2022")</f>
        <v/>
      </c>
      <c r="T700">
        <f>HYPERLINK("https://klasma.github.io/Logging_1460/kartor/A 29204-2022 karta.png", "A 29204-2022")</f>
        <v/>
      </c>
      <c r="V700">
        <f>HYPERLINK("https://klasma.github.io/Logging_1460/klagomål/A 29204-2022 FSC-klagomål.docx", "A 29204-2022")</f>
        <v/>
      </c>
      <c r="W700">
        <f>HYPERLINK("https://klasma.github.io/Logging_1460/klagomålsmail/A 29204-2022 FSC-klagomål mail.docx", "A 29204-2022")</f>
        <v/>
      </c>
      <c r="X700">
        <f>HYPERLINK("https://klasma.github.io/Logging_1460/tillsyn/A 29204-2022 tillsynsbegäran.docx", "A 29204-2022")</f>
        <v/>
      </c>
      <c r="Y700">
        <f>HYPERLINK("https://klasma.github.io/Logging_1460/tillsynsmail/A 29204-2022 tillsynsbegäran mail.docx", "A 29204-2022")</f>
        <v/>
      </c>
      <c r="Z700">
        <f>HYPERLINK("https://klasma.github.io/Logging_1460/fåglar/A 29204-2022 prioriterade fågelarter.docx", "A 29204-2022")</f>
        <v/>
      </c>
    </row>
    <row r="701" ht="15" customHeight="1">
      <c r="A701" t="inlineStr">
        <is>
          <t>A 54839-2023</t>
        </is>
      </c>
      <c r="B701" s="1" t="n">
        <v>45236</v>
      </c>
      <c r="C701" s="1" t="n">
        <v>46011</v>
      </c>
      <c r="D701" t="inlineStr">
        <is>
          <t>VÄSTRA GÖTALANDS LÄN</t>
        </is>
      </c>
      <c r="E701" t="inlineStr">
        <is>
          <t>BENGTSFORS</t>
        </is>
      </c>
      <c r="G701" t="n">
        <v>1.8</v>
      </c>
      <c r="H701" t="n">
        <v>0</v>
      </c>
      <c r="I701" t="n">
        <v>1</v>
      </c>
      <c r="J701" t="n">
        <v>0</v>
      </c>
      <c r="K701" t="n">
        <v>0</v>
      </c>
      <c r="L701" t="n">
        <v>0</v>
      </c>
      <c r="M701" t="n">
        <v>0</v>
      </c>
      <c r="N701" t="n">
        <v>0</v>
      </c>
      <c r="O701" t="n">
        <v>0</v>
      </c>
      <c r="P701" t="n">
        <v>0</v>
      </c>
      <c r="Q701" t="n">
        <v>1</v>
      </c>
      <c r="R701" s="2" t="inlineStr">
        <is>
          <t>Klippfrullania</t>
        </is>
      </c>
      <c r="S701">
        <f>HYPERLINK("https://klasma.github.io/Logging_1460/artfynd/A 54839-2023 artfynd.xlsx", "A 54839-2023")</f>
        <v/>
      </c>
      <c r="T701">
        <f>HYPERLINK("https://klasma.github.io/Logging_1460/kartor/A 54839-2023 karta.png", "A 54839-2023")</f>
        <v/>
      </c>
      <c r="V701">
        <f>HYPERLINK("https://klasma.github.io/Logging_1460/klagomål/A 54839-2023 FSC-klagomål.docx", "A 54839-2023")</f>
        <v/>
      </c>
      <c r="W701">
        <f>HYPERLINK("https://klasma.github.io/Logging_1460/klagomålsmail/A 54839-2023 FSC-klagomål mail.docx", "A 54839-2023")</f>
        <v/>
      </c>
      <c r="X701">
        <f>HYPERLINK("https://klasma.github.io/Logging_1460/tillsyn/A 54839-2023 tillsynsbegäran.docx", "A 54839-2023")</f>
        <v/>
      </c>
      <c r="Y701">
        <f>HYPERLINK("https://klasma.github.io/Logging_1460/tillsynsmail/A 54839-2023 tillsynsbegäran mail.docx", "A 54839-2023")</f>
        <v/>
      </c>
    </row>
    <row r="702" ht="15" customHeight="1">
      <c r="A702" t="inlineStr">
        <is>
          <t>A 2381-2021</t>
        </is>
      </c>
      <c r="B702" s="1" t="n">
        <v>44211</v>
      </c>
      <c r="C702" s="1" t="n">
        <v>46011</v>
      </c>
      <c r="D702" t="inlineStr">
        <is>
          <t>VÄSTRA GÖTALANDS LÄN</t>
        </is>
      </c>
      <c r="E702" t="inlineStr">
        <is>
          <t>LILLA EDET</t>
        </is>
      </c>
      <c r="F702" t="inlineStr">
        <is>
          <t>Kommuner</t>
        </is>
      </c>
      <c r="G702" t="n">
        <v>4.1</v>
      </c>
      <c r="H702" t="n">
        <v>0</v>
      </c>
      <c r="I702" t="n">
        <v>0</v>
      </c>
      <c r="J702" t="n">
        <v>1</v>
      </c>
      <c r="K702" t="n">
        <v>0</v>
      </c>
      <c r="L702" t="n">
        <v>0</v>
      </c>
      <c r="M702" t="n">
        <v>0</v>
      </c>
      <c r="N702" t="n">
        <v>0</v>
      </c>
      <c r="O702" t="n">
        <v>1</v>
      </c>
      <c r="P702" t="n">
        <v>0</v>
      </c>
      <c r="Q702" t="n">
        <v>1</v>
      </c>
      <c r="R702" s="2" t="inlineStr">
        <is>
          <t>Bergjohannesört</t>
        </is>
      </c>
      <c r="S702">
        <f>HYPERLINK("https://klasma.github.io/Logging_1462/artfynd/A 2381-2021 artfynd.xlsx", "A 2381-2021")</f>
        <v/>
      </c>
      <c r="T702">
        <f>HYPERLINK("https://klasma.github.io/Logging_1462/kartor/A 2381-2021 karta.png", "A 2381-2021")</f>
        <v/>
      </c>
      <c r="V702">
        <f>HYPERLINK("https://klasma.github.io/Logging_1462/klagomål/A 2381-2021 FSC-klagomål.docx", "A 2381-2021")</f>
        <v/>
      </c>
      <c r="W702">
        <f>HYPERLINK("https://klasma.github.io/Logging_1462/klagomålsmail/A 2381-2021 FSC-klagomål mail.docx", "A 2381-2021")</f>
        <v/>
      </c>
      <c r="X702">
        <f>HYPERLINK("https://klasma.github.io/Logging_1462/tillsyn/A 2381-2021 tillsynsbegäran.docx", "A 2381-2021")</f>
        <v/>
      </c>
      <c r="Y702">
        <f>HYPERLINK("https://klasma.github.io/Logging_1462/tillsynsmail/A 2381-2021 tillsynsbegäran mail.docx", "A 2381-2021")</f>
        <v/>
      </c>
    </row>
    <row r="703" ht="15" customHeight="1">
      <c r="A703" t="inlineStr">
        <is>
          <t>A 56305-2023</t>
        </is>
      </c>
      <c r="B703" s="1" t="n">
        <v>45242.82253472223</v>
      </c>
      <c r="C703" s="1" t="n">
        <v>46011</v>
      </c>
      <c r="D703" t="inlineStr">
        <is>
          <t>VÄSTRA GÖTALANDS LÄN</t>
        </is>
      </c>
      <c r="E703" t="inlineStr">
        <is>
          <t>FÄRGELANDA</t>
        </is>
      </c>
      <c r="G703" t="n">
        <v>20.1</v>
      </c>
      <c r="H703" t="n">
        <v>1</v>
      </c>
      <c r="I703" t="n">
        <v>0</v>
      </c>
      <c r="J703" t="n">
        <v>0</v>
      </c>
      <c r="K703" t="n">
        <v>0</v>
      </c>
      <c r="L703" t="n">
        <v>0</v>
      </c>
      <c r="M703" t="n">
        <v>0</v>
      </c>
      <c r="N703" t="n">
        <v>0</v>
      </c>
      <c r="O703" t="n">
        <v>0</v>
      </c>
      <c r="P703" t="n">
        <v>0</v>
      </c>
      <c r="Q703" t="n">
        <v>1</v>
      </c>
      <c r="R703" s="2" t="inlineStr">
        <is>
          <t>Revlummer</t>
        </is>
      </c>
      <c r="S703">
        <f>HYPERLINK("https://klasma.github.io/Logging_1439/artfynd/A 56305-2023 artfynd.xlsx", "A 56305-2023")</f>
        <v/>
      </c>
      <c r="T703">
        <f>HYPERLINK("https://klasma.github.io/Logging_1439/kartor/A 56305-2023 karta.png", "A 56305-2023")</f>
        <v/>
      </c>
      <c r="V703">
        <f>HYPERLINK("https://klasma.github.io/Logging_1439/klagomål/A 56305-2023 FSC-klagomål.docx", "A 56305-2023")</f>
        <v/>
      </c>
      <c r="W703">
        <f>HYPERLINK("https://klasma.github.io/Logging_1439/klagomålsmail/A 56305-2023 FSC-klagomål mail.docx", "A 56305-2023")</f>
        <v/>
      </c>
      <c r="X703">
        <f>HYPERLINK("https://klasma.github.io/Logging_1439/tillsyn/A 56305-2023 tillsynsbegäran.docx", "A 56305-2023")</f>
        <v/>
      </c>
      <c r="Y703">
        <f>HYPERLINK("https://klasma.github.io/Logging_1439/tillsynsmail/A 56305-2023 tillsynsbegäran mail.docx", "A 56305-2023")</f>
        <v/>
      </c>
    </row>
    <row r="704" ht="15" customHeight="1">
      <c r="A704" t="inlineStr">
        <is>
          <t>A 57965-2023</t>
        </is>
      </c>
      <c r="B704" s="1" t="n">
        <v>45247</v>
      </c>
      <c r="C704" s="1" t="n">
        <v>46011</v>
      </c>
      <c r="D704" t="inlineStr">
        <is>
          <t>VÄSTRA GÖTALANDS LÄN</t>
        </is>
      </c>
      <c r="E704" t="inlineStr">
        <is>
          <t>TANUM</t>
        </is>
      </c>
      <c r="G704" t="n">
        <v>10</v>
      </c>
      <c r="H704" t="n">
        <v>0</v>
      </c>
      <c r="I704" t="n">
        <v>0</v>
      </c>
      <c r="J704" t="n">
        <v>0</v>
      </c>
      <c r="K704" t="n">
        <v>1</v>
      </c>
      <c r="L704" t="n">
        <v>0</v>
      </c>
      <c r="M704" t="n">
        <v>0</v>
      </c>
      <c r="N704" t="n">
        <v>0</v>
      </c>
      <c r="O704" t="n">
        <v>1</v>
      </c>
      <c r="P704" t="n">
        <v>1</v>
      </c>
      <c r="Q704" t="n">
        <v>1</v>
      </c>
      <c r="R704" s="2" t="inlineStr">
        <is>
          <t>Slåttergubbe</t>
        </is>
      </c>
      <c r="S704">
        <f>HYPERLINK("https://klasma.github.io/Logging_1435/artfynd/A 57965-2023 artfynd.xlsx", "A 57965-2023")</f>
        <v/>
      </c>
      <c r="T704">
        <f>HYPERLINK("https://klasma.github.io/Logging_1435/kartor/A 57965-2023 karta.png", "A 57965-2023")</f>
        <v/>
      </c>
      <c r="V704">
        <f>HYPERLINK("https://klasma.github.io/Logging_1435/klagomål/A 57965-2023 FSC-klagomål.docx", "A 57965-2023")</f>
        <v/>
      </c>
      <c r="W704">
        <f>HYPERLINK("https://klasma.github.io/Logging_1435/klagomålsmail/A 57965-2023 FSC-klagomål mail.docx", "A 57965-2023")</f>
        <v/>
      </c>
      <c r="X704">
        <f>HYPERLINK("https://klasma.github.io/Logging_1435/tillsyn/A 57965-2023 tillsynsbegäran.docx", "A 57965-2023")</f>
        <v/>
      </c>
      <c r="Y704">
        <f>HYPERLINK("https://klasma.github.io/Logging_1435/tillsynsmail/A 57965-2023 tillsynsbegäran mail.docx", "A 57965-2023")</f>
        <v/>
      </c>
    </row>
    <row r="705" ht="15" customHeight="1">
      <c r="A705" t="inlineStr">
        <is>
          <t>A 26270-2024</t>
        </is>
      </c>
      <c r="B705" s="1" t="n">
        <v>45468</v>
      </c>
      <c r="C705" s="1" t="n">
        <v>46011</v>
      </c>
      <c r="D705" t="inlineStr">
        <is>
          <t>VÄSTRA GÖTALANDS LÄN</t>
        </is>
      </c>
      <c r="E705" t="inlineStr">
        <is>
          <t>HJO</t>
        </is>
      </c>
      <c r="G705" t="n">
        <v>5.6</v>
      </c>
      <c r="H705" t="n">
        <v>0</v>
      </c>
      <c r="I705" t="n">
        <v>0</v>
      </c>
      <c r="J705" t="n">
        <v>0</v>
      </c>
      <c r="K705" t="n">
        <v>0</v>
      </c>
      <c r="L705" t="n">
        <v>1</v>
      </c>
      <c r="M705" t="n">
        <v>0</v>
      </c>
      <c r="N705" t="n">
        <v>0</v>
      </c>
      <c r="O705" t="n">
        <v>1</v>
      </c>
      <c r="P705" t="n">
        <v>1</v>
      </c>
      <c r="Q705" t="n">
        <v>1</v>
      </c>
      <c r="R705" s="2" t="inlineStr">
        <is>
          <t>Ask</t>
        </is>
      </c>
      <c r="S705">
        <f>HYPERLINK("https://klasma.github.io/Logging_1497/artfynd/A 26270-2024 artfynd.xlsx", "A 26270-2024")</f>
        <v/>
      </c>
      <c r="T705">
        <f>HYPERLINK("https://klasma.github.io/Logging_1497/kartor/A 26270-2024 karta.png", "A 26270-2024")</f>
        <v/>
      </c>
      <c r="V705">
        <f>HYPERLINK("https://klasma.github.io/Logging_1497/klagomål/A 26270-2024 FSC-klagomål.docx", "A 26270-2024")</f>
        <v/>
      </c>
      <c r="W705">
        <f>HYPERLINK("https://klasma.github.io/Logging_1497/klagomålsmail/A 26270-2024 FSC-klagomål mail.docx", "A 26270-2024")</f>
        <v/>
      </c>
      <c r="X705">
        <f>HYPERLINK("https://klasma.github.io/Logging_1497/tillsyn/A 26270-2024 tillsynsbegäran.docx", "A 26270-2024")</f>
        <v/>
      </c>
      <c r="Y705">
        <f>HYPERLINK("https://klasma.github.io/Logging_1497/tillsynsmail/A 26270-2024 tillsynsbegäran mail.docx", "A 26270-2024")</f>
        <v/>
      </c>
    </row>
    <row r="706" ht="15" customHeight="1">
      <c r="A706" t="inlineStr">
        <is>
          <t>A 9698-2024</t>
        </is>
      </c>
      <c r="B706" s="1" t="n">
        <v>45362</v>
      </c>
      <c r="C706" s="1" t="n">
        <v>46011</v>
      </c>
      <c r="D706" t="inlineStr">
        <is>
          <t>VÄSTRA GÖTALANDS LÄN</t>
        </is>
      </c>
      <c r="E706" t="inlineStr">
        <is>
          <t>TANUM</t>
        </is>
      </c>
      <c r="F706" t="inlineStr">
        <is>
          <t>Kyrkan</t>
        </is>
      </c>
      <c r="G706" t="n">
        <v>2</v>
      </c>
      <c r="H706" t="n">
        <v>0</v>
      </c>
      <c r="I706" t="n">
        <v>1</v>
      </c>
      <c r="J706" t="n">
        <v>0</v>
      </c>
      <c r="K706" t="n">
        <v>0</v>
      </c>
      <c r="L706" t="n">
        <v>0</v>
      </c>
      <c r="M706" t="n">
        <v>0</v>
      </c>
      <c r="N706" t="n">
        <v>0</v>
      </c>
      <c r="O706" t="n">
        <v>0</v>
      </c>
      <c r="P706" t="n">
        <v>0</v>
      </c>
      <c r="Q706" t="n">
        <v>1</v>
      </c>
      <c r="R706" s="2" t="inlineStr">
        <is>
          <t>Springkorn</t>
        </is>
      </c>
      <c r="S706">
        <f>HYPERLINK("https://klasma.github.io/Logging_1435/artfynd/A 9698-2024 artfynd.xlsx", "A 9698-2024")</f>
        <v/>
      </c>
      <c r="T706">
        <f>HYPERLINK("https://klasma.github.io/Logging_1435/kartor/A 9698-2024 karta.png", "A 9698-2024")</f>
        <v/>
      </c>
      <c r="V706">
        <f>HYPERLINK("https://klasma.github.io/Logging_1435/klagomål/A 9698-2024 FSC-klagomål.docx", "A 9698-2024")</f>
        <v/>
      </c>
      <c r="W706">
        <f>HYPERLINK("https://klasma.github.io/Logging_1435/klagomålsmail/A 9698-2024 FSC-klagomål mail.docx", "A 9698-2024")</f>
        <v/>
      </c>
      <c r="X706">
        <f>HYPERLINK("https://klasma.github.io/Logging_1435/tillsyn/A 9698-2024 tillsynsbegäran.docx", "A 9698-2024")</f>
        <v/>
      </c>
      <c r="Y706">
        <f>HYPERLINK("https://klasma.github.io/Logging_1435/tillsynsmail/A 9698-2024 tillsynsbegäran mail.docx", "A 9698-2024")</f>
        <v/>
      </c>
    </row>
    <row r="707" ht="15" customHeight="1">
      <c r="A707" t="inlineStr">
        <is>
          <t>A 19343-2025</t>
        </is>
      </c>
      <c r="B707" s="1" t="n">
        <v>45769.59717592593</v>
      </c>
      <c r="C707" s="1" t="n">
        <v>46011</v>
      </c>
      <c r="D707" t="inlineStr">
        <is>
          <t>VÄSTRA GÖTALANDS LÄN</t>
        </is>
      </c>
      <c r="E707" t="inlineStr">
        <is>
          <t>TANUM</t>
        </is>
      </c>
      <c r="G707" t="n">
        <v>1.1</v>
      </c>
      <c r="H707" t="n">
        <v>1</v>
      </c>
      <c r="I707" t="n">
        <v>1</v>
      </c>
      <c r="J707" t="n">
        <v>0</v>
      </c>
      <c r="K707" t="n">
        <v>0</v>
      </c>
      <c r="L707" t="n">
        <v>0</v>
      </c>
      <c r="M707" t="n">
        <v>0</v>
      </c>
      <c r="N707" t="n">
        <v>0</v>
      </c>
      <c r="O707" t="n">
        <v>0</v>
      </c>
      <c r="P707" t="n">
        <v>0</v>
      </c>
      <c r="Q707" t="n">
        <v>1</v>
      </c>
      <c r="R707" s="2" t="inlineStr">
        <is>
          <t>Spindelblomster</t>
        </is>
      </c>
      <c r="S707">
        <f>HYPERLINK("https://klasma.github.io/Logging_1435/artfynd/A 19343-2025 artfynd.xlsx", "A 19343-2025")</f>
        <v/>
      </c>
      <c r="T707">
        <f>HYPERLINK("https://klasma.github.io/Logging_1435/kartor/A 19343-2025 karta.png", "A 19343-2025")</f>
        <v/>
      </c>
      <c r="V707">
        <f>HYPERLINK("https://klasma.github.io/Logging_1435/klagomål/A 19343-2025 FSC-klagomål.docx", "A 19343-2025")</f>
        <v/>
      </c>
      <c r="W707">
        <f>HYPERLINK("https://klasma.github.io/Logging_1435/klagomålsmail/A 19343-2025 FSC-klagomål mail.docx", "A 19343-2025")</f>
        <v/>
      </c>
      <c r="X707">
        <f>HYPERLINK("https://klasma.github.io/Logging_1435/tillsyn/A 19343-2025 tillsynsbegäran.docx", "A 19343-2025")</f>
        <v/>
      </c>
      <c r="Y707">
        <f>HYPERLINK("https://klasma.github.io/Logging_1435/tillsynsmail/A 19343-2025 tillsynsbegäran mail.docx", "A 19343-2025")</f>
        <v/>
      </c>
    </row>
    <row r="708" ht="15" customHeight="1">
      <c r="A708" t="inlineStr">
        <is>
          <t>A 55288-2023</t>
        </is>
      </c>
      <c r="B708" s="1" t="n">
        <v>45237.75653935185</v>
      </c>
      <c r="C708" s="1" t="n">
        <v>46011</v>
      </c>
      <c r="D708" t="inlineStr">
        <is>
          <t>VÄSTRA GÖTALANDS LÄN</t>
        </is>
      </c>
      <c r="E708" t="inlineStr">
        <is>
          <t>UDDEVALLA</t>
        </is>
      </c>
      <c r="G708" t="n">
        <v>5.2</v>
      </c>
      <c r="H708" t="n">
        <v>1</v>
      </c>
      <c r="I708" t="n">
        <v>0</v>
      </c>
      <c r="J708" t="n">
        <v>0</v>
      </c>
      <c r="K708" t="n">
        <v>0</v>
      </c>
      <c r="L708" t="n">
        <v>0</v>
      </c>
      <c r="M708" t="n">
        <v>0</v>
      </c>
      <c r="N708" t="n">
        <v>0</v>
      </c>
      <c r="O708" t="n">
        <v>0</v>
      </c>
      <c r="P708" t="n">
        <v>0</v>
      </c>
      <c r="Q708" t="n">
        <v>1</v>
      </c>
      <c r="R708" s="2" t="inlineStr">
        <is>
          <t>Revlummer</t>
        </is>
      </c>
      <c r="S708">
        <f>HYPERLINK("https://klasma.github.io/Logging_1485/artfynd/A 55288-2023 artfynd.xlsx", "A 55288-2023")</f>
        <v/>
      </c>
      <c r="T708">
        <f>HYPERLINK("https://klasma.github.io/Logging_1485/kartor/A 55288-2023 karta.png", "A 55288-2023")</f>
        <v/>
      </c>
      <c r="V708">
        <f>HYPERLINK("https://klasma.github.io/Logging_1485/klagomål/A 55288-2023 FSC-klagomål.docx", "A 55288-2023")</f>
        <v/>
      </c>
      <c r="W708">
        <f>HYPERLINK("https://klasma.github.io/Logging_1485/klagomålsmail/A 55288-2023 FSC-klagomål mail.docx", "A 55288-2023")</f>
        <v/>
      </c>
      <c r="X708">
        <f>HYPERLINK("https://klasma.github.io/Logging_1485/tillsyn/A 55288-2023 tillsynsbegäran.docx", "A 55288-2023")</f>
        <v/>
      </c>
      <c r="Y708">
        <f>HYPERLINK("https://klasma.github.io/Logging_1485/tillsynsmail/A 55288-2023 tillsynsbegäran mail.docx", "A 55288-2023")</f>
        <v/>
      </c>
    </row>
    <row r="709" ht="15" customHeight="1">
      <c r="A709" t="inlineStr">
        <is>
          <t>A 56006-2022</t>
        </is>
      </c>
      <c r="B709" s="1" t="n">
        <v>44889</v>
      </c>
      <c r="C709" s="1" t="n">
        <v>46011</v>
      </c>
      <c r="D709" t="inlineStr">
        <is>
          <t>VÄSTRA GÖTALANDS LÄN</t>
        </is>
      </c>
      <c r="E709" t="inlineStr">
        <is>
          <t>BENGTSFORS</t>
        </is>
      </c>
      <c r="G709" t="n">
        <v>6.4</v>
      </c>
      <c r="H709" t="n">
        <v>0</v>
      </c>
      <c r="I709" t="n">
        <v>1</v>
      </c>
      <c r="J709" t="n">
        <v>0</v>
      </c>
      <c r="K709" t="n">
        <v>0</v>
      </c>
      <c r="L709" t="n">
        <v>0</v>
      </c>
      <c r="M709" t="n">
        <v>0</v>
      </c>
      <c r="N709" t="n">
        <v>0</v>
      </c>
      <c r="O709" t="n">
        <v>0</v>
      </c>
      <c r="P709" t="n">
        <v>0</v>
      </c>
      <c r="Q709" t="n">
        <v>1</v>
      </c>
      <c r="R709" s="2" t="inlineStr">
        <is>
          <t>Västlig hakmossa</t>
        </is>
      </c>
      <c r="S709">
        <f>HYPERLINK("https://klasma.github.io/Logging_1460/artfynd/A 56006-2022 artfynd.xlsx", "A 56006-2022")</f>
        <v/>
      </c>
      <c r="T709">
        <f>HYPERLINK("https://klasma.github.io/Logging_1460/kartor/A 56006-2022 karta.png", "A 56006-2022")</f>
        <v/>
      </c>
      <c r="V709">
        <f>HYPERLINK("https://klasma.github.io/Logging_1460/klagomål/A 56006-2022 FSC-klagomål.docx", "A 56006-2022")</f>
        <v/>
      </c>
      <c r="W709">
        <f>HYPERLINK("https://klasma.github.io/Logging_1460/klagomålsmail/A 56006-2022 FSC-klagomål mail.docx", "A 56006-2022")</f>
        <v/>
      </c>
      <c r="X709">
        <f>HYPERLINK("https://klasma.github.io/Logging_1460/tillsyn/A 56006-2022 tillsynsbegäran.docx", "A 56006-2022")</f>
        <v/>
      </c>
      <c r="Y709">
        <f>HYPERLINK("https://klasma.github.io/Logging_1460/tillsynsmail/A 56006-2022 tillsynsbegäran mail.docx", "A 56006-2022")</f>
        <v/>
      </c>
    </row>
    <row r="710" ht="15" customHeight="1">
      <c r="A710" t="inlineStr">
        <is>
          <t>A 23519-2021</t>
        </is>
      </c>
      <c r="B710" s="1" t="n">
        <v>44333</v>
      </c>
      <c r="C710" s="1" t="n">
        <v>46011</v>
      </c>
      <c r="D710" t="inlineStr">
        <is>
          <t>VÄSTRA GÖTALANDS LÄN</t>
        </is>
      </c>
      <c r="E710" t="inlineStr">
        <is>
          <t>MARK</t>
        </is>
      </c>
      <c r="G710" t="n">
        <v>0.8</v>
      </c>
      <c r="H710" t="n">
        <v>0</v>
      </c>
      <c r="I710" t="n">
        <v>0</v>
      </c>
      <c r="J710" t="n">
        <v>1</v>
      </c>
      <c r="K710" t="n">
        <v>0</v>
      </c>
      <c r="L710" t="n">
        <v>0</v>
      </c>
      <c r="M710" t="n">
        <v>0</v>
      </c>
      <c r="N710" t="n">
        <v>0</v>
      </c>
      <c r="O710" t="n">
        <v>1</v>
      </c>
      <c r="P710" t="n">
        <v>0</v>
      </c>
      <c r="Q710" t="n">
        <v>1</v>
      </c>
      <c r="R710" s="2" t="inlineStr">
        <is>
          <t>Grynig filtlav</t>
        </is>
      </c>
      <c r="S710">
        <f>HYPERLINK("https://klasma.github.io/Logging_1463/artfynd/A 23519-2021 artfynd.xlsx", "A 23519-2021")</f>
        <v/>
      </c>
      <c r="T710">
        <f>HYPERLINK("https://klasma.github.io/Logging_1463/kartor/A 23519-2021 karta.png", "A 23519-2021")</f>
        <v/>
      </c>
      <c r="V710">
        <f>HYPERLINK("https://klasma.github.io/Logging_1463/klagomål/A 23519-2021 FSC-klagomål.docx", "A 23519-2021")</f>
        <v/>
      </c>
      <c r="W710">
        <f>HYPERLINK("https://klasma.github.io/Logging_1463/klagomålsmail/A 23519-2021 FSC-klagomål mail.docx", "A 23519-2021")</f>
        <v/>
      </c>
      <c r="X710">
        <f>HYPERLINK("https://klasma.github.io/Logging_1463/tillsyn/A 23519-2021 tillsynsbegäran.docx", "A 23519-2021")</f>
        <v/>
      </c>
      <c r="Y710">
        <f>HYPERLINK("https://klasma.github.io/Logging_1463/tillsynsmail/A 23519-2021 tillsynsbegäran mail.docx", "A 23519-2021")</f>
        <v/>
      </c>
    </row>
    <row r="711" ht="15" customHeight="1">
      <c r="A711" t="inlineStr">
        <is>
          <t>A 55617-2023</t>
        </is>
      </c>
      <c r="B711" s="1" t="n">
        <v>45238.82357638889</v>
      </c>
      <c r="C711" s="1" t="n">
        <v>46011</v>
      </c>
      <c r="D711" t="inlineStr">
        <is>
          <t>VÄSTRA GÖTALANDS LÄN</t>
        </is>
      </c>
      <c r="E711" t="inlineStr">
        <is>
          <t>VÄNERSBORG</t>
        </is>
      </c>
      <c r="G711" t="n">
        <v>1.1</v>
      </c>
      <c r="H711" t="n">
        <v>1</v>
      </c>
      <c r="I711" t="n">
        <v>0</v>
      </c>
      <c r="J711" t="n">
        <v>0</v>
      </c>
      <c r="K711" t="n">
        <v>0</v>
      </c>
      <c r="L711" t="n">
        <v>0</v>
      </c>
      <c r="M711" t="n">
        <v>0</v>
      </c>
      <c r="N711" t="n">
        <v>0</v>
      </c>
      <c r="O711" t="n">
        <v>0</v>
      </c>
      <c r="P711" t="n">
        <v>0</v>
      </c>
      <c r="Q711" t="n">
        <v>1</v>
      </c>
      <c r="R711" s="2" t="inlineStr">
        <is>
          <t>Blåsippa</t>
        </is>
      </c>
      <c r="S711">
        <f>HYPERLINK("https://klasma.github.io/Logging_1487/artfynd/A 55617-2023 artfynd.xlsx", "A 55617-2023")</f>
        <v/>
      </c>
      <c r="T711">
        <f>HYPERLINK("https://klasma.github.io/Logging_1487/kartor/A 55617-2023 karta.png", "A 55617-2023")</f>
        <v/>
      </c>
      <c r="V711">
        <f>HYPERLINK("https://klasma.github.io/Logging_1487/klagomål/A 55617-2023 FSC-klagomål.docx", "A 55617-2023")</f>
        <v/>
      </c>
      <c r="W711">
        <f>HYPERLINK("https://klasma.github.io/Logging_1487/klagomålsmail/A 55617-2023 FSC-klagomål mail.docx", "A 55617-2023")</f>
        <v/>
      </c>
      <c r="X711">
        <f>HYPERLINK("https://klasma.github.io/Logging_1487/tillsyn/A 55617-2023 tillsynsbegäran.docx", "A 55617-2023")</f>
        <v/>
      </c>
      <c r="Y711">
        <f>HYPERLINK("https://klasma.github.io/Logging_1487/tillsynsmail/A 55617-2023 tillsynsbegäran mail.docx", "A 55617-2023")</f>
        <v/>
      </c>
    </row>
    <row r="712" ht="15" customHeight="1">
      <c r="A712" t="inlineStr">
        <is>
          <t>A 5687-2022</t>
        </is>
      </c>
      <c r="B712" s="1" t="n">
        <v>44596</v>
      </c>
      <c r="C712" s="1" t="n">
        <v>46011</v>
      </c>
      <c r="D712" t="inlineStr">
        <is>
          <t>VÄSTRA GÖTALANDS LÄN</t>
        </is>
      </c>
      <c r="E712" t="inlineStr">
        <is>
          <t>BENGTSFORS</t>
        </is>
      </c>
      <c r="G712" t="n">
        <v>4.5</v>
      </c>
      <c r="H712" t="n">
        <v>1</v>
      </c>
      <c r="I712" t="n">
        <v>0</v>
      </c>
      <c r="J712" t="n">
        <v>1</v>
      </c>
      <c r="K712" t="n">
        <v>0</v>
      </c>
      <c r="L712" t="n">
        <v>0</v>
      </c>
      <c r="M712" t="n">
        <v>0</v>
      </c>
      <c r="N712" t="n">
        <v>0</v>
      </c>
      <c r="O712" t="n">
        <v>1</v>
      </c>
      <c r="P712" t="n">
        <v>0</v>
      </c>
      <c r="Q712" t="n">
        <v>1</v>
      </c>
      <c r="R712" s="2" t="inlineStr">
        <is>
          <t>Spillkråka</t>
        </is>
      </c>
      <c r="S712">
        <f>HYPERLINK("https://klasma.github.io/Logging_1460/artfynd/A 5687-2022 artfynd.xlsx", "A 5687-2022")</f>
        <v/>
      </c>
      <c r="T712">
        <f>HYPERLINK("https://klasma.github.io/Logging_1460/kartor/A 5687-2022 karta.png", "A 5687-2022")</f>
        <v/>
      </c>
      <c r="V712">
        <f>HYPERLINK("https://klasma.github.io/Logging_1460/klagomål/A 5687-2022 FSC-klagomål.docx", "A 5687-2022")</f>
        <v/>
      </c>
      <c r="W712">
        <f>HYPERLINK("https://klasma.github.io/Logging_1460/klagomålsmail/A 5687-2022 FSC-klagomål mail.docx", "A 5687-2022")</f>
        <v/>
      </c>
      <c r="X712">
        <f>HYPERLINK("https://klasma.github.io/Logging_1460/tillsyn/A 5687-2022 tillsynsbegäran.docx", "A 5687-2022")</f>
        <v/>
      </c>
      <c r="Y712">
        <f>HYPERLINK("https://klasma.github.io/Logging_1460/tillsynsmail/A 5687-2022 tillsynsbegäran mail.docx", "A 5687-2022")</f>
        <v/>
      </c>
      <c r="Z712">
        <f>HYPERLINK("https://klasma.github.io/Logging_1460/fåglar/A 5687-2022 prioriterade fågelarter.docx", "A 5687-2022")</f>
        <v/>
      </c>
    </row>
    <row r="713" ht="15" customHeight="1">
      <c r="A713" t="inlineStr">
        <is>
          <t>A 7185-2024</t>
        </is>
      </c>
      <c r="B713" s="1" t="n">
        <v>45344</v>
      </c>
      <c r="C713" s="1" t="n">
        <v>46011</v>
      </c>
      <c r="D713" t="inlineStr">
        <is>
          <t>VÄSTRA GÖTALANDS LÄN</t>
        </is>
      </c>
      <c r="E713" t="inlineStr">
        <is>
          <t>SVENLJUNGA</t>
        </is>
      </c>
      <c r="F713" t="inlineStr">
        <is>
          <t>Kommuner</t>
        </is>
      </c>
      <c r="G713" t="n">
        <v>1</v>
      </c>
      <c r="H713" t="n">
        <v>1</v>
      </c>
      <c r="I713" t="n">
        <v>0</v>
      </c>
      <c r="J713" t="n">
        <v>0</v>
      </c>
      <c r="K713" t="n">
        <v>0</v>
      </c>
      <c r="L713" t="n">
        <v>0</v>
      </c>
      <c r="M713" t="n">
        <v>0</v>
      </c>
      <c r="N713" t="n">
        <v>0</v>
      </c>
      <c r="O713" t="n">
        <v>0</v>
      </c>
      <c r="P713" t="n">
        <v>0</v>
      </c>
      <c r="Q713" t="n">
        <v>1</v>
      </c>
      <c r="R713" s="2" t="inlineStr">
        <is>
          <t>Revlummer</t>
        </is>
      </c>
      <c r="S713">
        <f>HYPERLINK("https://klasma.github.io/Logging_1465/artfynd/A 7185-2024 artfynd.xlsx", "A 7185-2024")</f>
        <v/>
      </c>
      <c r="T713">
        <f>HYPERLINK("https://klasma.github.io/Logging_1465/kartor/A 7185-2024 karta.png", "A 7185-2024")</f>
        <v/>
      </c>
      <c r="V713">
        <f>HYPERLINK("https://klasma.github.io/Logging_1465/klagomål/A 7185-2024 FSC-klagomål.docx", "A 7185-2024")</f>
        <v/>
      </c>
      <c r="W713">
        <f>HYPERLINK("https://klasma.github.io/Logging_1465/klagomålsmail/A 7185-2024 FSC-klagomål mail.docx", "A 7185-2024")</f>
        <v/>
      </c>
      <c r="X713">
        <f>HYPERLINK("https://klasma.github.io/Logging_1465/tillsyn/A 7185-2024 tillsynsbegäran.docx", "A 7185-2024")</f>
        <v/>
      </c>
      <c r="Y713">
        <f>HYPERLINK("https://klasma.github.io/Logging_1465/tillsynsmail/A 7185-2024 tillsynsbegäran mail.docx", "A 7185-2024")</f>
        <v/>
      </c>
    </row>
    <row r="714" ht="15" customHeight="1">
      <c r="A714" t="inlineStr">
        <is>
          <t>A 18176-2025</t>
        </is>
      </c>
      <c r="B714" s="1" t="n">
        <v>45761.65479166667</v>
      </c>
      <c r="C714" s="1" t="n">
        <v>46011</v>
      </c>
      <c r="D714" t="inlineStr">
        <is>
          <t>VÄSTRA GÖTALANDS LÄN</t>
        </is>
      </c>
      <c r="E714" t="inlineStr">
        <is>
          <t>MARIESTAD</t>
        </is>
      </c>
      <c r="G714" t="n">
        <v>6.9</v>
      </c>
      <c r="H714" t="n">
        <v>0</v>
      </c>
      <c r="I714" t="n">
        <v>1</v>
      </c>
      <c r="J714" t="n">
        <v>0</v>
      </c>
      <c r="K714" t="n">
        <v>0</v>
      </c>
      <c r="L714" t="n">
        <v>0</v>
      </c>
      <c r="M714" t="n">
        <v>0</v>
      </c>
      <c r="N714" t="n">
        <v>0</v>
      </c>
      <c r="O714" t="n">
        <v>0</v>
      </c>
      <c r="P714" t="n">
        <v>0</v>
      </c>
      <c r="Q714" t="n">
        <v>1</v>
      </c>
      <c r="R714" s="2" t="inlineStr">
        <is>
          <t>Grovticka</t>
        </is>
      </c>
      <c r="S714">
        <f>HYPERLINK("https://klasma.github.io/Logging_1493/artfynd/A 18176-2025 artfynd.xlsx", "A 18176-2025")</f>
        <v/>
      </c>
      <c r="T714">
        <f>HYPERLINK("https://klasma.github.io/Logging_1493/kartor/A 18176-2025 karta.png", "A 18176-2025")</f>
        <v/>
      </c>
      <c r="V714">
        <f>HYPERLINK("https://klasma.github.io/Logging_1493/klagomål/A 18176-2025 FSC-klagomål.docx", "A 18176-2025")</f>
        <v/>
      </c>
      <c r="W714">
        <f>HYPERLINK("https://klasma.github.io/Logging_1493/klagomålsmail/A 18176-2025 FSC-klagomål mail.docx", "A 18176-2025")</f>
        <v/>
      </c>
      <c r="X714">
        <f>HYPERLINK("https://klasma.github.io/Logging_1493/tillsyn/A 18176-2025 tillsynsbegäran.docx", "A 18176-2025")</f>
        <v/>
      </c>
      <c r="Y714">
        <f>HYPERLINK("https://klasma.github.io/Logging_1493/tillsynsmail/A 18176-2025 tillsynsbegäran mail.docx", "A 18176-2025")</f>
        <v/>
      </c>
    </row>
    <row r="715" ht="15" customHeight="1">
      <c r="A715" t="inlineStr">
        <is>
          <t>A 3497-2024</t>
        </is>
      </c>
      <c r="B715" s="1" t="n">
        <v>45317</v>
      </c>
      <c r="C715" s="1" t="n">
        <v>46011</v>
      </c>
      <c r="D715" t="inlineStr">
        <is>
          <t>VÄSTRA GÖTALANDS LÄN</t>
        </is>
      </c>
      <c r="E715" t="inlineStr">
        <is>
          <t>TANUM</t>
        </is>
      </c>
      <c r="G715" t="n">
        <v>0.3</v>
      </c>
      <c r="H715" t="n">
        <v>0</v>
      </c>
      <c r="I715" t="n">
        <v>1</v>
      </c>
      <c r="J715" t="n">
        <v>0</v>
      </c>
      <c r="K715" t="n">
        <v>0</v>
      </c>
      <c r="L715" t="n">
        <v>0</v>
      </c>
      <c r="M715" t="n">
        <v>0</v>
      </c>
      <c r="N715" t="n">
        <v>0</v>
      </c>
      <c r="O715" t="n">
        <v>0</v>
      </c>
      <c r="P715" t="n">
        <v>0</v>
      </c>
      <c r="Q715" t="n">
        <v>1</v>
      </c>
      <c r="R715" s="2" t="inlineStr">
        <is>
          <t>Fällmossa</t>
        </is>
      </c>
      <c r="S715">
        <f>HYPERLINK("https://klasma.github.io/Logging_1435/artfynd/A 3497-2024 artfynd.xlsx", "A 3497-2024")</f>
        <v/>
      </c>
      <c r="T715">
        <f>HYPERLINK("https://klasma.github.io/Logging_1435/kartor/A 3497-2024 karta.png", "A 3497-2024")</f>
        <v/>
      </c>
      <c r="V715">
        <f>HYPERLINK("https://klasma.github.io/Logging_1435/klagomål/A 3497-2024 FSC-klagomål.docx", "A 3497-2024")</f>
        <v/>
      </c>
      <c r="W715">
        <f>HYPERLINK("https://klasma.github.io/Logging_1435/klagomålsmail/A 3497-2024 FSC-klagomål mail.docx", "A 3497-2024")</f>
        <v/>
      </c>
      <c r="X715">
        <f>HYPERLINK("https://klasma.github.io/Logging_1435/tillsyn/A 3497-2024 tillsynsbegäran.docx", "A 3497-2024")</f>
        <v/>
      </c>
      <c r="Y715">
        <f>HYPERLINK("https://klasma.github.io/Logging_1435/tillsynsmail/A 3497-2024 tillsynsbegäran mail.docx", "A 3497-2024")</f>
        <v/>
      </c>
    </row>
    <row r="716" ht="15" customHeight="1">
      <c r="A716" t="inlineStr">
        <is>
          <t>A 969-2024</t>
        </is>
      </c>
      <c r="B716" s="1" t="n">
        <v>45301</v>
      </c>
      <c r="C716" s="1" t="n">
        <v>46011</v>
      </c>
      <c r="D716" t="inlineStr">
        <is>
          <t>VÄSTRA GÖTALANDS LÄN</t>
        </is>
      </c>
      <c r="E716" t="inlineStr">
        <is>
          <t>UDDEVALLA</t>
        </is>
      </c>
      <c r="G716" t="n">
        <v>17.4</v>
      </c>
      <c r="H716" t="n">
        <v>1</v>
      </c>
      <c r="I716" t="n">
        <v>0</v>
      </c>
      <c r="J716" t="n">
        <v>0</v>
      </c>
      <c r="K716" t="n">
        <v>0</v>
      </c>
      <c r="L716" t="n">
        <v>0</v>
      </c>
      <c r="M716" t="n">
        <v>0</v>
      </c>
      <c r="N716" t="n">
        <v>0</v>
      </c>
      <c r="O716" t="n">
        <v>0</v>
      </c>
      <c r="P716" t="n">
        <v>0</v>
      </c>
      <c r="Q716" t="n">
        <v>1</v>
      </c>
      <c r="R716" s="2" t="inlineStr">
        <is>
          <t>Revlummer</t>
        </is>
      </c>
      <c r="S716">
        <f>HYPERLINK("https://klasma.github.io/Logging_1485/artfynd/A 969-2024 artfynd.xlsx", "A 969-2024")</f>
        <v/>
      </c>
      <c r="T716">
        <f>HYPERLINK("https://klasma.github.io/Logging_1485/kartor/A 969-2024 karta.png", "A 969-2024")</f>
        <v/>
      </c>
      <c r="V716">
        <f>HYPERLINK("https://klasma.github.io/Logging_1485/klagomål/A 969-2024 FSC-klagomål.docx", "A 969-2024")</f>
        <v/>
      </c>
      <c r="W716">
        <f>HYPERLINK("https://klasma.github.io/Logging_1485/klagomålsmail/A 969-2024 FSC-klagomål mail.docx", "A 969-2024")</f>
        <v/>
      </c>
      <c r="X716">
        <f>HYPERLINK("https://klasma.github.io/Logging_1485/tillsyn/A 969-2024 tillsynsbegäran.docx", "A 969-2024")</f>
        <v/>
      </c>
      <c r="Y716">
        <f>HYPERLINK("https://klasma.github.io/Logging_1485/tillsynsmail/A 969-2024 tillsynsbegäran mail.docx", "A 969-2024")</f>
        <v/>
      </c>
    </row>
    <row r="717" ht="15" customHeight="1">
      <c r="A717" t="inlineStr">
        <is>
          <t>A 7770-2024</t>
        </is>
      </c>
      <c r="B717" s="1" t="n">
        <v>45348</v>
      </c>
      <c r="C717" s="1" t="n">
        <v>46011</v>
      </c>
      <c r="D717" t="inlineStr">
        <is>
          <t>VÄSTRA GÖTALANDS LÄN</t>
        </is>
      </c>
      <c r="E717" t="inlineStr">
        <is>
          <t>UDDEVALLA</t>
        </is>
      </c>
      <c r="F717" t="inlineStr">
        <is>
          <t>Kyrkan</t>
        </is>
      </c>
      <c r="G717" t="n">
        <v>6.2</v>
      </c>
      <c r="H717" t="n">
        <v>1</v>
      </c>
      <c r="I717" t="n">
        <v>0</v>
      </c>
      <c r="J717" t="n">
        <v>0</v>
      </c>
      <c r="K717" t="n">
        <v>0</v>
      </c>
      <c r="L717" t="n">
        <v>0</v>
      </c>
      <c r="M717" t="n">
        <v>0</v>
      </c>
      <c r="N717" t="n">
        <v>0</v>
      </c>
      <c r="O717" t="n">
        <v>0</v>
      </c>
      <c r="P717" t="n">
        <v>0</v>
      </c>
      <c r="Q717" t="n">
        <v>1</v>
      </c>
      <c r="R717" s="2" t="inlineStr">
        <is>
          <t>Blåsippa</t>
        </is>
      </c>
      <c r="S717">
        <f>HYPERLINK("https://klasma.github.io/Logging_1485/artfynd/A 7770-2024 artfynd.xlsx", "A 7770-2024")</f>
        <v/>
      </c>
      <c r="T717">
        <f>HYPERLINK("https://klasma.github.io/Logging_1485/kartor/A 7770-2024 karta.png", "A 7770-2024")</f>
        <v/>
      </c>
      <c r="V717">
        <f>HYPERLINK("https://klasma.github.io/Logging_1485/klagomål/A 7770-2024 FSC-klagomål.docx", "A 7770-2024")</f>
        <v/>
      </c>
      <c r="W717">
        <f>HYPERLINK("https://klasma.github.io/Logging_1485/klagomålsmail/A 7770-2024 FSC-klagomål mail.docx", "A 7770-2024")</f>
        <v/>
      </c>
      <c r="X717">
        <f>HYPERLINK("https://klasma.github.io/Logging_1485/tillsyn/A 7770-2024 tillsynsbegäran.docx", "A 7770-2024")</f>
        <v/>
      </c>
      <c r="Y717">
        <f>HYPERLINK("https://klasma.github.io/Logging_1485/tillsynsmail/A 7770-2024 tillsynsbegäran mail.docx", "A 7770-2024")</f>
        <v/>
      </c>
    </row>
    <row r="718" ht="15" customHeight="1">
      <c r="A718" t="inlineStr">
        <is>
          <t>A 39092-2022</t>
        </is>
      </c>
      <c r="B718" s="1" t="n">
        <v>44817</v>
      </c>
      <c r="C718" s="1" t="n">
        <v>46011</v>
      </c>
      <c r="D718" t="inlineStr">
        <is>
          <t>VÄSTRA GÖTALANDS LÄN</t>
        </is>
      </c>
      <c r="E718" t="inlineStr">
        <is>
          <t>SKÖVDE</t>
        </is>
      </c>
      <c r="G718" t="n">
        <v>3.1</v>
      </c>
      <c r="H718" t="n">
        <v>0</v>
      </c>
      <c r="I718" t="n">
        <v>1</v>
      </c>
      <c r="J718" t="n">
        <v>0</v>
      </c>
      <c r="K718" t="n">
        <v>0</v>
      </c>
      <c r="L718" t="n">
        <v>0</v>
      </c>
      <c r="M718" t="n">
        <v>0</v>
      </c>
      <c r="N718" t="n">
        <v>0</v>
      </c>
      <c r="O718" t="n">
        <v>0</v>
      </c>
      <c r="P718" t="n">
        <v>0</v>
      </c>
      <c r="Q718" t="n">
        <v>1</v>
      </c>
      <c r="R718" s="2" t="inlineStr">
        <is>
          <t>Sårläka</t>
        </is>
      </c>
      <c r="S718">
        <f>HYPERLINK("https://klasma.github.io/Logging_1496/artfynd/A 39092-2022 artfynd.xlsx", "A 39092-2022")</f>
        <v/>
      </c>
      <c r="T718">
        <f>HYPERLINK("https://klasma.github.io/Logging_1496/kartor/A 39092-2022 karta.png", "A 39092-2022")</f>
        <v/>
      </c>
      <c r="V718">
        <f>HYPERLINK("https://klasma.github.io/Logging_1496/klagomål/A 39092-2022 FSC-klagomål.docx", "A 39092-2022")</f>
        <v/>
      </c>
      <c r="W718">
        <f>HYPERLINK("https://klasma.github.io/Logging_1496/klagomålsmail/A 39092-2022 FSC-klagomål mail.docx", "A 39092-2022")</f>
        <v/>
      </c>
      <c r="X718">
        <f>HYPERLINK("https://klasma.github.io/Logging_1496/tillsyn/A 39092-2022 tillsynsbegäran.docx", "A 39092-2022")</f>
        <v/>
      </c>
      <c r="Y718">
        <f>HYPERLINK("https://klasma.github.io/Logging_1496/tillsynsmail/A 39092-2022 tillsynsbegäran mail.docx", "A 39092-2022")</f>
        <v/>
      </c>
    </row>
    <row r="719" ht="15" customHeight="1">
      <c r="A719" t="inlineStr">
        <is>
          <t>A 5971-2024</t>
        </is>
      </c>
      <c r="B719" s="1" t="n">
        <v>45336.5199537037</v>
      </c>
      <c r="C719" s="1" t="n">
        <v>46011</v>
      </c>
      <c r="D719" t="inlineStr">
        <is>
          <t>VÄSTRA GÖTALANDS LÄN</t>
        </is>
      </c>
      <c r="E719" t="inlineStr">
        <is>
          <t>BENGTSFORS</t>
        </is>
      </c>
      <c r="G719" t="n">
        <v>3.4</v>
      </c>
      <c r="H719" t="n">
        <v>0</v>
      </c>
      <c r="I719" t="n">
        <v>0</v>
      </c>
      <c r="J719" t="n">
        <v>1</v>
      </c>
      <c r="K719" t="n">
        <v>0</v>
      </c>
      <c r="L719" t="n">
        <v>0</v>
      </c>
      <c r="M719" t="n">
        <v>0</v>
      </c>
      <c r="N719" t="n">
        <v>0</v>
      </c>
      <c r="O719" t="n">
        <v>1</v>
      </c>
      <c r="P719" t="n">
        <v>0</v>
      </c>
      <c r="Q719" t="n">
        <v>1</v>
      </c>
      <c r="R719" s="2" t="inlineStr">
        <is>
          <t>Tallticka</t>
        </is>
      </c>
      <c r="S719">
        <f>HYPERLINK("https://klasma.github.io/Logging_1460/artfynd/A 5971-2024 artfynd.xlsx", "A 5971-2024")</f>
        <v/>
      </c>
      <c r="T719">
        <f>HYPERLINK("https://klasma.github.io/Logging_1460/kartor/A 5971-2024 karta.png", "A 5971-2024")</f>
        <v/>
      </c>
      <c r="V719">
        <f>HYPERLINK("https://klasma.github.io/Logging_1460/klagomål/A 5971-2024 FSC-klagomål.docx", "A 5971-2024")</f>
        <v/>
      </c>
      <c r="W719">
        <f>HYPERLINK("https://klasma.github.io/Logging_1460/klagomålsmail/A 5971-2024 FSC-klagomål mail.docx", "A 5971-2024")</f>
        <v/>
      </c>
      <c r="X719">
        <f>HYPERLINK("https://klasma.github.io/Logging_1460/tillsyn/A 5971-2024 tillsynsbegäran.docx", "A 5971-2024")</f>
        <v/>
      </c>
      <c r="Y719">
        <f>HYPERLINK("https://klasma.github.io/Logging_1460/tillsynsmail/A 5971-2024 tillsynsbegäran mail.docx", "A 5971-2024")</f>
        <v/>
      </c>
    </row>
    <row r="720" ht="15" customHeight="1">
      <c r="A720" t="inlineStr">
        <is>
          <t>A 42763-2024</t>
        </is>
      </c>
      <c r="B720" s="1" t="n">
        <v>45566.50440972222</v>
      </c>
      <c r="C720" s="1" t="n">
        <v>46011</v>
      </c>
      <c r="D720" t="inlineStr">
        <is>
          <t>VÄSTRA GÖTALANDS LÄN</t>
        </is>
      </c>
      <c r="E720" t="inlineStr">
        <is>
          <t>ULRICEHAMN</t>
        </is>
      </c>
      <c r="F720" t="inlineStr">
        <is>
          <t>Sveaskog</t>
        </is>
      </c>
      <c r="G720" t="n">
        <v>5.3</v>
      </c>
      <c r="H720" t="n">
        <v>1</v>
      </c>
      <c r="I720" t="n">
        <v>0</v>
      </c>
      <c r="J720" t="n">
        <v>0</v>
      </c>
      <c r="K720" t="n">
        <v>0</v>
      </c>
      <c r="L720" t="n">
        <v>0</v>
      </c>
      <c r="M720" t="n">
        <v>0</v>
      </c>
      <c r="N720" t="n">
        <v>0</v>
      </c>
      <c r="O720" t="n">
        <v>0</v>
      </c>
      <c r="P720" t="n">
        <v>0</v>
      </c>
      <c r="Q720" t="n">
        <v>1</v>
      </c>
      <c r="R720" s="2" t="inlineStr">
        <is>
          <t>Hasselmus</t>
        </is>
      </c>
      <c r="S720">
        <f>HYPERLINK("https://klasma.github.io/Logging_1491/artfynd/A 42763-2024 artfynd.xlsx", "A 42763-2024")</f>
        <v/>
      </c>
      <c r="T720">
        <f>HYPERLINK("https://klasma.github.io/Logging_1491/kartor/A 42763-2024 karta.png", "A 42763-2024")</f>
        <v/>
      </c>
      <c r="V720">
        <f>HYPERLINK("https://klasma.github.io/Logging_1491/klagomål/A 42763-2024 FSC-klagomål.docx", "A 42763-2024")</f>
        <v/>
      </c>
      <c r="W720">
        <f>HYPERLINK("https://klasma.github.io/Logging_1491/klagomålsmail/A 42763-2024 FSC-klagomål mail.docx", "A 42763-2024")</f>
        <v/>
      </c>
      <c r="X720">
        <f>HYPERLINK("https://klasma.github.io/Logging_1491/tillsyn/A 42763-2024 tillsynsbegäran.docx", "A 42763-2024")</f>
        <v/>
      </c>
      <c r="Y720">
        <f>HYPERLINK("https://klasma.github.io/Logging_1491/tillsynsmail/A 42763-2024 tillsynsbegäran mail.docx", "A 42763-2024")</f>
        <v/>
      </c>
    </row>
    <row r="721" ht="15" customHeight="1">
      <c r="A721" t="inlineStr">
        <is>
          <t>A 34166-2023</t>
        </is>
      </c>
      <c r="B721" s="1" t="n">
        <v>45137</v>
      </c>
      <c r="C721" s="1" t="n">
        <v>46011</v>
      </c>
      <c r="D721" t="inlineStr">
        <is>
          <t>VÄSTRA GÖTALANDS LÄN</t>
        </is>
      </c>
      <c r="E721" t="inlineStr">
        <is>
          <t>MARK</t>
        </is>
      </c>
      <c r="G721" t="n">
        <v>5.1</v>
      </c>
      <c r="H721" t="n">
        <v>1</v>
      </c>
      <c r="I721" t="n">
        <v>0</v>
      </c>
      <c r="J721" t="n">
        <v>0</v>
      </c>
      <c r="K721" t="n">
        <v>0</v>
      </c>
      <c r="L721" t="n">
        <v>0</v>
      </c>
      <c r="M721" t="n">
        <v>0</v>
      </c>
      <c r="N721" t="n">
        <v>0</v>
      </c>
      <c r="O721" t="n">
        <v>0</v>
      </c>
      <c r="P721" t="n">
        <v>0</v>
      </c>
      <c r="Q721" t="n">
        <v>1</v>
      </c>
      <c r="R721" s="2" t="inlineStr">
        <is>
          <t>Hasselmus</t>
        </is>
      </c>
      <c r="S721">
        <f>HYPERLINK("https://klasma.github.io/Logging_1463/artfynd/A 34166-2023 artfynd.xlsx", "A 34166-2023")</f>
        <v/>
      </c>
      <c r="T721">
        <f>HYPERLINK("https://klasma.github.io/Logging_1463/kartor/A 34166-2023 karta.png", "A 34166-2023")</f>
        <v/>
      </c>
      <c r="V721">
        <f>HYPERLINK("https://klasma.github.io/Logging_1463/klagomål/A 34166-2023 FSC-klagomål.docx", "A 34166-2023")</f>
        <v/>
      </c>
      <c r="W721">
        <f>HYPERLINK("https://klasma.github.io/Logging_1463/klagomålsmail/A 34166-2023 FSC-klagomål mail.docx", "A 34166-2023")</f>
        <v/>
      </c>
      <c r="X721">
        <f>HYPERLINK("https://klasma.github.io/Logging_1463/tillsyn/A 34166-2023 tillsynsbegäran.docx", "A 34166-2023")</f>
        <v/>
      </c>
      <c r="Y721">
        <f>HYPERLINK("https://klasma.github.io/Logging_1463/tillsynsmail/A 34166-2023 tillsynsbegäran mail.docx", "A 34166-2023")</f>
        <v/>
      </c>
    </row>
    <row r="722" ht="15" customHeight="1">
      <c r="A722" t="inlineStr">
        <is>
          <t>A 10476-2023</t>
        </is>
      </c>
      <c r="B722" s="1" t="n">
        <v>44987</v>
      </c>
      <c r="C722" s="1" t="n">
        <v>46011</v>
      </c>
      <c r="D722" t="inlineStr">
        <is>
          <t>VÄSTRA GÖTALANDS LÄN</t>
        </is>
      </c>
      <c r="E722" t="inlineStr">
        <is>
          <t>LIDKÖPING</t>
        </is>
      </c>
      <c r="G722" t="n">
        <v>2.2</v>
      </c>
      <c r="H722" t="n">
        <v>1</v>
      </c>
      <c r="I722" t="n">
        <v>0</v>
      </c>
      <c r="J722" t="n">
        <v>0</v>
      </c>
      <c r="K722" t="n">
        <v>0</v>
      </c>
      <c r="L722" t="n">
        <v>0</v>
      </c>
      <c r="M722" t="n">
        <v>0</v>
      </c>
      <c r="N722" t="n">
        <v>0</v>
      </c>
      <c r="O722" t="n">
        <v>0</v>
      </c>
      <c r="P722" t="n">
        <v>0</v>
      </c>
      <c r="Q722" t="n">
        <v>1</v>
      </c>
      <c r="R722" s="2" t="inlineStr">
        <is>
          <t>Kungsfågel</t>
        </is>
      </c>
      <c r="S722">
        <f>HYPERLINK("https://klasma.github.io/Logging_1494/artfynd/A 10476-2023 artfynd.xlsx", "A 10476-2023")</f>
        <v/>
      </c>
      <c r="T722">
        <f>HYPERLINK("https://klasma.github.io/Logging_1494/kartor/A 10476-2023 karta.png", "A 10476-2023")</f>
        <v/>
      </c>
      <c r="V722">
        <f>HYPERLINK("https://klasma.github.io/Logging_1494/klagomål/A 10476-2023 FSC-klagomål.docx", "A 10476-2023")</f>
        <v/>
      </c>
      <c r="W722">
        <f>HYPERLINK("https://klasma.github.io/Logging_1494/klagomålsmail/A 10476-2023 FSC-klagomål mail.docx", "A 10476-2023")</f>
        <v/>
      </c>
      <c r="X722">
        <f>HYPERLINK("https://klasma.github.io/Logging_1494/tillsyn/A 10476-2023 tillsynsbegäran.docx", "A 10476-2023")</f>
        <v/>
      </c>
      <c r="Y722">
        <f>HYPERLINK("https://klasma.github.io/Logging_1494/tillsynsmail/A 10476-2023 tillsynsbegäran mail.docx", "A 10476-2023")</f>
        <v/>
      </c>
      <c r="Z722">
        <f>HYPERLINK("https://klasma.github.io/Logging_1494/fåglar/A 10476-2023 prioriterade fågelarter.docx", "A 10476-2023")</f>
        <v/>
      </c>
    </row>
    <row r="723" ht="15" customHeight="1">
      <c r="A723" t="inlineStr">
        <is>
          <t>A 19620-2025</t>
        </is>
      </c>
      <c r="B723" s="1" t="n">
        <v>45770.62328703704</v>
      </c>
      <c r="C723" s="1" t="n">
        <v>46011</v>
      </c>
      <c r="D723" t="inlineStr">
        <is>
          <t>VÄSTRA GÖTALANDS LÄN</t>
        </is>
      </c>
      <c r="E723" t="inlineStr">
        <is>
          <t>ALINGSÅS</t>
        </is>
      </c>
      <c r="G723" t="n">
        <v>7.6</v>
      </c>
      <c r="H723" t="n">
        <v>0</v>
      </c>
      <c r="I723" t="n">
        <v>0</v>
      </c>
      <c r="J723" t="n">
        <v>1</v>
      </c>
      <c r="K723" t="n">
        <v>0</v>
      </c>
      <c r="L723" t="n">
        <v>0</v>
      </c>
      <c r="M723" t="n">
        <v>0</v>
      </c>
      <c r="N723" t="n">
        <v>0</v>
      </c>
      <c r="O723" t="n">
        <v>1</v>
      </c>
      <c r="P723" t="n">
        <v>0</v>
      </c>
      <c r="Q723" t="n">
        <v>1</v>
      </c>
      <c r="R723" s="2" t="inlineStr">
        <is>
          <t>Svinrot</t>
        </is>
      </c>
      <c r="S723">
        <f>HYPERLINK("https://klasma.github.io/Logging_1489/artfynd/A 19620-2025 artfynd.xlsx", "A 19620-2025")</f>
        <v/>
      </c>
      <c r="T723">
        <f>HYPERLINK("https://klasma.github.io/Logging_1489/kartor/A 19620-2025 karta.png", "A 19620-2025")</f>
        <v/>
      </c>
      <c r="V723">
        <f>HYPERLINK("https://klasma.github.io/Logging_1489/klagomål/A 19620-2025 FSC-klagomål.docx", "A 19620-2025")</f>
        <v/>
      </c>
      <c r="W723">
        <f>HYPERLINK("https://klasma.github.io/Logging_1489/klagomålsmail/A 19620-2025 FSC-klagomål mail.docx", "A 19620-2025")</f>
        <v/>
      </c>
      <c r="X723">
        <f>HYPERLINK("https://klasma.github.io/Logging_1489/tillsyn/A 19620-2025 tillsynsbegäran.docx", "A 19620-2025")</f>
        <v/>
      </c>
      <c r="Y723">
        <f>HYPERLINK("https://klasma.github.io/Logging_1489/tillsynsmail/A 19620-2025 tillsynsbegäran mail.docx", "A 19620-2025")</f>
        <v/>
      </c>
    </row>
    <row r="724" ht="15" customHeight="1">
      <c r="A724" t="inlineStr">
        <is>
          <t>A 64810-2021</t>
        </is>
      </c>
      <c r="B724" s="1" t="n">
        <v>44512</v>
      </c>
      <c r="C724" s="1" t="n">
        <v>46011</v>
      </c>
      <c r="D724" t="inlineStr">
        <is>
          <t>VÄSTRA GÖTALANDS LÄN</t>
        </is>
      </c>
      <c r="E724" t="inlineStr">
        <is>
          <t>ULRICEHAMN</t>
        </is>
      </c>
      <c r="G724" t="n">
        <v>17.3</v>
      </c>
      <c r="H724" t="n">
        <v>1</v>
      </c>
      <c r="I724" t="n">
        <v>1</v>
      </c>
      <c r="J724" t="n">
        <v>0</v>
      </c>
      <c r="K724" t="n">
        <v>0</v>
      </c>
      <c r="L724" t="n">
        <v>0</v>
      </c>
      <c r="M724" t="n">
        <v>0</v>
      </c>
      <c r="N724" t="n">
        <v>0</v>
      </c>
      <c r="O724" t="n">
        <v>0</v>
      </c>
      <c r="P724" t="n">
        <v>0</v>
      </c>
      <c r="Q724" t="n">
        <v>1</v>
      </c>
      <c r="R724" s="2" t="inlineStr">
        <is>
          <t>Plattlummer</t>
        </is>
      </c>
      <c r="S724">
        <f>HYPERLINK("https://klasma.github.io/Logging_1491/artfynd/A 64810-2021 artfynd.xlsx", "A 64810-2021")</f>
        <v/>
      </c>
      <c r="T724">
        <f>HYPERLINK("https://klasma.github.io/Logging_1491/kartor/A 64810-2021 karta.png", "A 64810-2021")</f>
        <v/>
      </c>
      <c r="V724">
        <f>HYPERLINK("https://klasma.github.io/Logging_1491/klagomål/A 64810-2021 FSC-klagomål.docx", "A 64810-2021")</f>
        <v/>
      </c>
      <c r="W724">
        <f>HYPERLINK("https://klasma.github.io/Logging_1491/klagomålsmail/A 64810-2021 FSC-klagomål mail.docx", "A 64810-2021")</f>
        <v/>
      </c>
      <c r="X724">
        <f>HYPERLINK("https://klasma.github.io/Logging_1491/tillsyn/A 64810-2021 tillsynsbegäran.docx", "A 64810-2021")</f>
        <v/>
      </c>
      <c r="Y724">
        <f>HYPERLINK("https://klasma.github.io/Logging_1491/tillsynsmail/A 64810-2021 tillsynsbegäran mail.docx", "A 64810-2021")</f>
        <v/>
      </c>
    </row>
    <row r="725" ht="15" customHeight="1">
      <c r="A725" t="inlineStr">
        <is>
          <t>A 5383-2024</t>
        </is>
      </c>
      <c r="B725" s="1" t="n">
        <v>45330</v>
      </c>
      <c r="C725" s="1" t="n">
        <v>46011</v>
      </c>
      <c r="D725" t="inlineStr">
        <is>
          <t>VÄSTRA GÖTALANDS LÄN</t>
        </is>
      </c>
      <c r="E725" t="inlineStr">
        <is>
          <t>ALINGSÅS</t>
        </is>
      </c>
      <c r="F725" t="inlineStr">
        <is>
          <t>Övriga Aktiebolag</t>
        </is>
      </c>
      <c r="G725" t="n">
        <v>4.2</v>
      </c>
      <c r="H725" t="n">
        <v>0</v>
      </c>
      <c r="I725" t="n">
        <v>0</v>
      </c>
      <c r="J725" t="n">
        <v>0</v>
      </c>
      <c r="K725" t="n">
        <v>0</v>
      </c>
      <c r="L725" t="n">
        <v>1</v>
      </c>
      <c r="M725" t="n">
        <v>0</v>
      </c>
      <c r="N725" t="n">
        <v>0</v>
      </c>
      <c r="O725" t="n">
        <v>1</v>
      </c>
      <c r="P725" t="n">
        <v>1</v>
      </c>
      <c r="Q725" t="n">
        <v>1</v>
      </c>
      <c r="R725" s="2" t="inlineStr">
        <is>
          <t>Ask</t>
        </is>
      </c>
      <c r="S725">
        <f>HYPERLINK("https://klasma.github.io/Logging_1489/artfynd/A 5383-2024 artfynd.xlsx", "A 5383-2024")</f>
        <v/>
      </c>
      <c r="T725">
        <f>HYPERLINK("https://klasma.github.io/Logging_1489/kartor/A 5383-2024 karta.png", "A 5383-2024")</f>
        <v/>
      </c>
      <c r="V725">
        <f>HYPERLINK("https://klasma.github.io/Logging_1489/klagomål/A 5383-2024 FSC-klagomål.docx", "A 5383-2024")</f>
        <v/>
      </c>
      <c r="W725">
        <f>HYPERLINK("https://klasma.github.io/Logging_1489/klagomålsmail/A 5383-2024 FSC-klagomål mail.docx", "A 5383-2024")</f>
        <v/>
      </c>
      <c r="X725">
        <f>HYPERLINK("https://klasma.github.io/Logging_1489/tillsyn/A 5383-2024 tillsynsbegäran.docx", "A 5383-2024")</f>
        <v/>
      </c>
      <c r="Y725">
        <f>HYPERLINK("https://klasma.github.io/Logging_1489/tillsynsmail/A 5383-2024 tillsynsbegäran mail.docx", "A 5383-2024")</f>
        <v/>
      </c>
    </row>
    <row r="726" ht="15" customHeight="1">
      <c r="A726" t="inlineStr">
        <is>
          <t>A 40355-2022</t>
        </is>
      </c>
      <c r="B726" s="1" t="n">
        <v>44818</v>
      </c>
      <c r="C726" s="1" t="n">
        <v>46011</v>
      </c>
      <c r="D726" t="inlineStr">
        <is>
          <t>VÄSTRA GÖTALANDS LÄN</t>
        </is>
      </c>
      <c r="E726" t="inlineStr">
        <is>
          <t>DALS-ED</t>
        </is>
      </c>
      <c r="F726" t="inlineStr">
        <is>
          <t>Kyrkan</t>
        </is>
      </c>
      <c r="G726" t="n">
        <v>4.2</v>
      </c>
      <c r="H726" t="n">
        <v>0</v>
      </c>
      <c r="I726" t="n">
        <v>0</v>
      </c>
      <c r="J726" t="n">
        <v>0</v>
      </c>
      <c r="K726" t="n">
        <v>0</v>
      </c>
      <c r="L726" t="n">
        <v>1</v>
      </c>
      <c r="M726" t="n">
        <v>0</v>
      </c>
      <c r="N726" t="n">
        <v>0</v>
      </c>
      <c r="O726" t="n">
        <v>1</v>
      </c>
      <c r="P726" t="n">
        <v>1</v>
      </c>
      <c r="Q726" t="n">
        <v>1</v>
      </c>
      <c r="R726" s="2" t="inlineStr">
        <is>
          <t>Kantlök</t>
        </is>
      </c>
      <c r="S726">
        <f>HYPERLINK("https://klasma.github.io/Logging_1438/artfynd/A 40355-2022 artfynd.xlsx", "A 40355-2022")</f>
        <v/>
      </c>
      <c r="T726">
        <f>HYPERLINK("https://klasma.github.io/Logging_1438/kartor/A 40355-2022 karta.png", "A 40355-2022")</f>
        <v/>
      </c>
      <c r="V726">
        <f>HYPERLINK("https://klasma.github.io/Logging_1438/klagomål/A 40355-2022 FSC-klagomål.docx", "A 40355-2022")</f>
        <v/>
      </c>
      <c r="W726">
        <f>HYPERLINK("https://klasma.github.io/Logging_1438/klagomålsmail/A 40355-2022 FSC-klagomål mail.docx", "A 40355-2022")</f>
        <v/>
      </c>
      <c r="X726">
        <f>HYPERLINK("https://klasma.github.io/Logging_1438/tillsyn/A 40355-2022 tillsynsbegäran.docx", "A 40355-2022")</f>
        <v/>
      </c>
      <c r="Y726">
        <f>HYPERLINK("https://klasma.github.io/Logging_1438/tillsynsmail/A 40355-2022 tillsynsbegäran mail.docx", "A 40355-2022")</f>
        <v/>
      </c>
    </row>
    <row r="727" ht="15" customHeight="1">
      <c r="A727" t="inlineStr">
        <is>
          <t>A 42900-2024</t>
        </is>
      </c>
      <c r="B727" s="1" t="n">
        <v>45566.86297453703</v>
      </c>
      <c r="C727" s="1" t="n">
        <v>46011</v>
      </c>
      <c r="D727" t="inlineStr">
        <is>
          <t>VÄSTRA GÖTALANDS LÄN</t>
        </is>
      </c>
      <c r="E727" t="inlineStr">
        <is>
          <t>SVENLJUNGA</t>
        </is>
      </c>
      <c r="G727" t="n">
        <v>4.6</v>
      </c>
      <c r="H727" t="n">
        <v>1</v>
      </c>
      <c r="I727" t="n">
        <v>0</v>
      </c>
      <c r="J727" t="n">
        <v>0</v>
      </c>
      <c r="K727" t="n">
        <v>0</v>
      </c>
      <c r="L727" t="n">
        <v>0</v>
      </c>
      <c r="M727" t="n">
        <v>0</v>
      </c>
      <c r="N727" t="n">
        <v>0</v>
      </c>
      <c r="O727" t="n">
        <v>0</v>
      </c>
      <c r="P727" t="n">
        <v>0</v>
      </c>
      <c r="Q727" t="n">
        <v>1</v>
      </c>
      <c r="R727" s="2" t="inlineStr">
        <is>
          <t>Mattlummer</t>
        </is>
      </c>
      <c r="S727">
        <f>HYPERLINK("https://klasma.github.io/Logging_1465/artfynd/A 42900-2024 artfynd.xlsx", "A 42900-2024")</f>
        <v/>
      </c>
      <c r="T727">
        <f>HYPERLINK("https://klasma.github.io/Logging_1465/kartor/A 42900-2024 karta.png", "A 42900-2024")</f>
        <v/>
      </c>
      <c r="V727">
        <f>HYPERLINK("https://klasma.github.io/Logging_1465/klagomål/A 42900-2024 FSC-klagomål.docx", "A 42900-2024")</f>
        <v/>
      </c>
      <c r="W727">
        <f>HYPERLINK("https://klasma.github.io/Logging_1465/klagomålsmail/A 42900-2024 FSC-klagomål mail.docx", "A 42900-2024")</f>
        <v/>
      </c>
      <c r="X727">
        <f>HYPERLINK("https://klasma.github.io/Logging_1465/tillsyn/A 42900-2024 tillsynsbegäran.docx", "A 42900-2024")</f>
        <v/>
      </c>
      <c r="Y727">
        <f>HYPERLINK("https://klasma.github.io/Logging_1465/tillsynsmail/A 42900-2024 tillsynsbegäran mail.docx", "A 42900-2024")</f>
        <v/>
      </c>
    </row>
    <row r="728" ht="15" customHeight="1">
      <c r="A728" t="inlineStr">
        <is>
          <t>A 61684-2023</t>
        </is>
      </c>
      <c r="B728" s="1" t="n">
        <v>45264</v>
      </c>
      <c r="C728" s="1" t="n">
        <v>46011</v>
      </c>
      <c r="D728" t="inlineStr">
        <is>
          <t>VÄSTRA GÖTALANDS LÄN</t>
        </is>
      </c>
      <c r="E728" t="inlineStr">
        <is>
          <t>BORÅS</t>
        </is>
      </c>
      <c r="G728" t="n">
        <v>0.8</v>
      </c>
      <c r="H728" t="n">
        <v>0</v>
      </c>
      <c r="I728" t="n">
        <v>1</v>
      </c>
      <c r="J728" t="n">
        <v>0</v>
      </c>
      <c r="K728" t="n">
        <v>0</v>
      </c>
      <c r="L728" t="n">
        <v>0</v>
      </c>
      <c r="M728" t="n">
        <v>0</v>
      </c>
      <c r="N728" t="n">
        <v>0</v>
      </c>
      <c r="O728" t="n">
        <v>0</v>
      </c>
      <c r="P728" t="n">
        <v>0</v>
      </c>
      <c r="Q728" t="n">
        <v>1</v>
      </c>
      <c r="R728" s="2" t="inlineStr">
        <is>
          <t>Fällmossa</t>
        </is>
      </c>
      <c r="S728">
        <f>HYPERLINK("https://klasma.github.io/Logging_1490/artfynd/A 61684-2023 artfynd.xlsx", "A 61684-2023")</f>
        <v/>
      </c>
      <c r="T728">
        <f>HYPERLINK("https://klasma.github.io/Logging_1490/kartor/A 61684-2023 karta.png", "A 61684-2023")</f>
        <v/>
      </c>
      <c r="V728">
        <f>HYPERLINK("https://klasma.github.io/Logging_1490/klagomål/A 61684-2023 FSC-klagomål.docx", "A 61684-2023")</f>
        <v/>
      </c>
      <c r="W728">
        <f>HYPERLINK("https://klasma.github.io/Logging_1490/klagomålsmail/A 61684-2023 FSC-klagomål mail.docx", "A 61684-2023")</f>
        <v/>
      </c>
      <c r="X728">
        <f>HYPERLINK("https://klasma.github.io/Logging_1490/tillsyn/A 61684-2023 tillsynsbegäran.docx", "A 61684-2023")</f>
        <v/>
      </c>
      <c r="Y728">
        <f>HYPERLINK("https://klasma.github.io/Logging_1490/tillsynsmail/A 61684-2023 tillsynsbegäran mail.docx", "A 61684-2023")</f>
        <v/>
      </c>
    </row>
    <row r="729" ht="15" customHeight="1">
      <c r="A729" t="inlineStr">
        <is>
          <t>A 1255-2021</t>
        </is>
      </c>
      <c r="B729" s="1" t="n">
        <v>44207</v>
      </c>
      <c r="C729" s="1" t="n">
        <v>46011</v>
      </c>
      <c r="D729" t="inlineStr">
        <is>
          <t>VÄSTRA GÖTALANDS LÄN</t>
        </is>
      </c>
      <c r="E729" t="inlineStr">
        <is>
          <t>TANUM</t>
        </is>
      </c>
      <c r="F729" t="inlineStr">
        <is>
          <t>Kyrkan</t>
        </is>
      </c>
      <c r="G729" t="n">
        <v>20.8</v>
      </c>
      <c r="H729" t="n">
        <v>1</v>
      </c>
      <c r="I729" t="n">
        <v>0</v>
      </c>
      <c r="J729" t="n">
        <v>1</v>
      </c>
      <c r="K729" t="n">
        <v>0</v>
      </c>
      <c r="L729" t="n">
        <v>0</v>
      </c>
      <c r="M729" t="n">
        <v>0</v>
      </c>
      <c r="N729" t="n">
        <v>0</v>
      </c>
      <c r="O729" t="n">
        <v>1</v>
      </c>
      <c r="P729" t="n">
        <v>0</v>
      </c>
      <c r="Q729" t="n">
        <v>1</v>
      </c>
      <c r="R729" s="2" t="inlineStr">
        <is>
          <t>Spillkråka</t>
        </is>
      </c>
      <c r="S729">
        <f>HYPERLINK("https://klasma.github.io/Logging_1435/artfynd/A 1255-2021 artfynd.xlsx", "A 1255-2021")</f>
        <v/>
      </c>
      <c r="T729">
        <f>HYPERLINK("https://klasma.github.io/Logging_1435/kartor/A 1255-2021 karta.png", "A 1255-2021")</f>
        <v/>
      </c>
      <c r="V729">
        <f>HYPERLINK("https://klasma.github.io/Logging_1435/klagomål/A 1255-2021 FSC-klagomål.docx", "A 1255-2021")</f>
        <v/>
      </c>
      <c r="W729">
        <f>HYPERLINK("https://klasma.github.io/Logging_1435/klagomålsmail/A 1255-2021 FSC-klagomål mail.docx", "A 1255-2021")</f>
        <v/>
      </c>
      <c r="X729">
        <f>HYPERLINK("https://klasma.github.io/Logging_1435/tillsyn/A 1255-2021 tillsynsbegäran.docx", "A 1255-2021")</f>
        <v/>
      </c>
      <c r="Y729">
        <f>HYPERLINK("https://klasma.github.io/Logging_1435/tillsynsmail/A 1255-2021 tillsynsbegäran mail.docx", "A 1255-2021")</f>
        <v/>
      </c>
      <c r="Z729">
        <f>HYPERLINK("https://klasma.github.io/Logging_1435/fåglar/A 1255-2021 prioriterade fågelarter.docx", "A 1255-2021")</f>
        <v/>
      </c>
    </row>
    <row r="730" ht="15" customHeight="1">
      <c r="A730" t="inlineStr">
        <is>
          <t>A 12807-2023</t>
        </is>
      </c>
      <c r="B730" s="1" t="n">
        <v>45001</v>
      </c>
      <c r="C730" s="1" t="n">
        <v>46011</v>
      </c>
      <c r="D730" t="inlineStr">
        <is>
          <t>VÄSTRA GÖTALANDS LÄN</t>
        </is>
      </c>
      <c r="E730" t="inlineStr">
        <is>
          <t>MARK</t>
        </is>
      </c>
      <c r="G730" t="n">
        <v>2.2</v>
      </c>
      <c r="H730" t="n">
        <v>1</v>
      </c>
      <c r="I730" t="n">
        <v>0</v>
      </c>
      <c r="J730" t="n">
        <v>0</v>
      </c>
      <c r="K730" t="n">
        <v>1</v>
      </c>
      <c r="L730" t="n">
        <v>0</v>
      </c>
      <c r="M730" t="n">
        <v>0</v>
      </c>
      <c r="N730" t="n">
        <v>0</v>
      </c>
      <c r="O730" t="n">
        <v>1</v>
      </c>
      <c r="P730" t="n">
        <v>1</v>
      </c>
      <c r="Q730" t="n">
        <v>1</v>
      </c>
      <c r="R730" s="2" t="inlineStr">
        <is>
          <t>Knärot</t>
        </is>
      </c>
      <c r="S730">
        <f>HYPERLINK("https://klasma.github.io/Logging_1463/artfynd/A 12807-2023 artfynd.xlsx", "A 12807-2023")</f>
        <v/>
      </c>
      <c r="T730">
        <f>HYPERLINK("https://klasma.github.io/Logging_1463/kartor/A 12807-2023 karta.png", "A 12807-2023")</f>
        <v/>
      </c>
      <c r="U730">
        <f>HYPERLINK("https://klasma.github.io/Logging_1463/knärot/A 12807-2023 karta knärot.png", "A 12807-2023")</f>
        <v/>
      </c>
      <c r="V730">
        <f>HYPERLINK("https://klasma.github.io/Logging_1463/klagomål/A 12807-2023 FSC-klagomål.docx", "A 12807-2023")</f>
        <v/>
      </c>
      <c r="W730">
        <f>HYPERLINK("https://klasma.github.io/Logging_1463/klagomålsmail/A 12807-2023 FSC-klagomål mail.docx", "A 12807-2023")</f>
        <v/>
      </c>
      <c r="X730">
        <f>HYPERLINK("https://klasma.github.io/Logging_1463/tillsyn/A 12807-2023 tillsynsbegäran.docx", "A 12807-2023")</f>
        <v/>
      </c>
      <c r="Y730">
        <f>HYPERLINK("https://klasma.github.io/Logging_1463/tillsynsmail/A 12807-2023 tillsynsbegäran mail.docx", "A 12807-2023")</f>
        <v/>
      </c>
    </row>
    <row r="731" ht="15" customHeight="1">
      <c r="A731" t="inlineStr">
        <is>
          <t>A 20086-2023</t>
        </is>
      </c>
      <c r="B731" s="1" t="n">
        <v>45054</v>
      </c>
      <c r="C731" s="1" t="n">
        <v>46011</v>
      </c>
      <c r="D731" t="inlineStr">
        <is>
          <t>VÄSTRA GÖTALANDS LÄN</t>
        </is>
      </c>
      <c r="E731" t="inlineStr">
        <is>
          <t>ORUST</t>
        </is>
      </c>
      <c r="G731" t="n">
        <v>1.9</v>
      </c>
      <c r="H731" t="n">
        <v>1</v>
      </c>
      <c r="I731" t="n">
        <v>0</v>
      </c>
      <c r="J731" t="n">
        <v>0</v>
      </c>
      <c r="K731" t="n">
        <v>1</v>
      </c>
      <c r="L731" t="n">
        <v>0</v>
      </c>
      <c r="M731" t="n">
        <v>0</v>
      </c>
      <c r="N731" t="n">
        <v>0</v>
      </c>
      <c r="O731" t="n">
        <v>1</v>
      </c>
      <c r="P731" t="n">
        <v>1</v>
      </c>
      <c r="Q731" t="n">
        <v>1</v>
      </c>
      <c r="R731" s="2" t="inlineStr">
        <is>
          <t>Knärot</t>
        </is>
      </c>
      <c r="S731">
        <f>HYPERLINK("https://klasma.github.io/Logging_1421/artfynd/A 20086-2023 artfynd.xlsx", "A 20086-2023")</f>
        <v/>
      </c>
      <c r="T731">
        <f>HYPERLINK("https://klasma.github.io/Logging_1421/kartor/A 20086-2023 karta.png", "A 20086-2023")</f>
        <v/>
      </c>
      <c r="U731">
        <f>HYPERLINK("https://klasma.github.io/Logging_1421/knärot/A 20086-2023 karta knärot.png", "A 20086-2023")</f>
        <v/>
      </c>
      <c r="V731">
        <f>HYPERLINK("https://klasma.github.io/Logging_1421/klagomål/A 20086-2023 FSC-klagomål.docx", "A 20086-2023")</f>
        <v/>
      </c>
      <c r="W731">
        <f>HYPERLINK("https://klasma.github.io/Logging_1421/klagomålsmail/A 20086-2023 FSC-klagomål mail.docx", "A 20086-2023")</f>
        <v/>
      </c>
      <c r="X731">
        <f>HYPERLINK("https://klasma.github.io/Logging_1421/tillsyn/A 20086-2023 tillsynsbegäran.docx", "A 20086-2023")</f>
        <v/>
      </c>
      <c r="Y731">
        <f>HYPERLINK("https://klasma.github.io/Logging_1421/tillsynsmail/A 20086-2023 tillsynsbegäran mail.docx", "A 20086-2023")</f>
        <v/>
      </c>
    </row>
    <row r="732" ht="15" customHeight="1">
      <c r="A732" t="inlineStr">
        <is>
          <t>A 12982-2024</t>
        </is>
      </c>
      <c r="B732" s="1" t="n">
        <v>45385.53569444444</v>
      </c>
      <c r="C732" s="1" t="n">
        <v>46011</v>
      </c>
      <c r="D732" t="inlineStr">
        <is>
          <t>VÄSTRA GÖTALANDS LÄN</t>
        </is>
      </c>
      <c r="E732" t="inlineStr">
        <is>
          <t>ALE</t>
        </is>
      </c>
      <c r="G732" t="n">
        <v>3.3</v>
      </c>
      <c r="H732" t="n">
        <v>1</v>
      </c>
      <c r="I732" t="n">
        <v>0</v>
      </c>
      <c r="J732" t="n">
        <v>0</v>
      </c>
      <c r="K732" t="n">
        <v>0</v>
      </c>
      <c r="L732" t="n">
        <v>0</v>
      </c>
      <c r="M732" t="n">
        <v>0</v>
      </c>
      <c r="N732" t="n">
        <v>0</v>
      </c>
      <c r="O732" t="n">
        <v>0</v>
      </c>
      <c r="P732" t="n">
        <v>0</v>
      </c>
      <c r="Q732" t="n">
        <v>1</v>
      </c>
      <c r="R732" s="2" t="inlineStr">
        <is>
          <t>Revlummer</t>
        </is>
      </c>
      <c r="S732">
        <f>HYPERLINK("https://klasma.github.io/Logging_1440/artfynd/A 12982-2024 artfynd.xlsx", "A 12982-2024")</f>
        <v/>
      </c>
      <c r="T732">
        <f>HYPERLINK("https://klasma.github.io/Logging_1440/kartor/A 12982-2024 karta.png", "A 12982-2024")</f>
        <v/>
      </c>
      <c r="V732">
        <f>HYPERLINK("https://klasma.github.io/Logging_1440/klagomål/A 12982-2024 FSC-klagomål.docx", "A 12982-2024")</f>
        <v/>
      </c>
      <c r="W732">
        <f>HYPERLINK("https://klasma.github.io/Logging_1440/klagomålsmail/A 12982-2024 FSC-klagomål mail.docx", "A 12982-2024")</f>
        <v/>
      </c>
      <c r="X732">
        <f>HYPERLINK("https://klasma.github.io/Logging_1440/tillsyn/A 12982-2024 tillsynsbegäran.docx", "A 12982-2024")</f>
        <v/>
      </c>
      <c r="Y732">
        <f>HYPERLINK("https://klasma.github.io/Logging_1440/tillsynsmail/A 12982-2024 tillsynsbegäran mail.docx", "A 12982-2024")</f>
        <v/>
      </c>
    </row>
    <row r="733" ht="15" customHeight="1">
      <c r="A733" t="inlineStr">
        <is>
          <t>A 30771-2022</t>
        </is>
      </c>
      <c r="B733" s="1" t="n">
        <v>44764</v>
      </c>
      <c r="C733" s="1" t="n">
        <v>46011</v>
      </c>
      <c r="D733" t="inlineStr">
        <is>
          <t>VÄSTRA GÖTALANDS LÄN</t>
        </is>
      </c>
      <c r="E733" t="inlineStr">
        <is>
          <t>SVENLJUNGA</t>
        </is>
      </c>
      <c r="G733" t="n">
        <v>1.8</v>
      </c>
      <c r="H733" t="n">
        <v>0</v>
      </c>
      <c r="I733" t="n">
        <v>0</v>
      </c>
      <c r="J733" t="n">
        <v>1</v>
      </c>
      <c r="K733" t="n">
        <v>0</v>
      </c>
      <c r="L733" t="n">
        <v>0</v>
      </c>
      <c r="M733" t="n">
        <v>0</v>
      </c>
      <c r="N733" t="n">
        <v>0</v>
      </c>
      <c r="O733" t="n">
        <v>1</v>
      </c>
      <c r="P733" t="n">
        <v>0</v>
      </c>
      <c r="Q733" t="n">
        <v>1</v>
      </c>
      <c r="R733" s="2" t="inlineStr">
        <is>
          <t>Grynig filtlav</t>
        </is>
      </c>
      <c r="S733">
        <f>HYPERLINK("https://klasma.github.io/Logging_1465/artfynd/A 30771-2022 artfynd.xlsx", "A 30771-2022")</f>
        <v/>
      </c>
      <c r="T733">
        <f>HYPERLINK("https://klasma.github.io/Logging_1465/kartor/A 30771-2022 karta.png", "A 30771-2022")</f>
        <v/>
      </c>
      <c r="V733">
        <f>HYPERLINK("https://klasma.github.io/Logging_1465/klagomål/A 30771-2022 FSC-klagomål.docx", "A 30771-2022")</f>
        <v/>
      </c>
      <c r="W733">
        <f>HYPERLINK("https://klasma.github.io/Logging_1465/klagomålsmail/A 30771-2022 FSC-klagomål mail.docx", "A 30771-2022")</f>
        <v/>
      </c>
      <c r="X733">
        <f>HYPERLINK("https://klasma.github.io/Logging_1465/tillsyn/A 30771-2022 tillsynsbegäran.docx", "A 30771-2022")</f>
        <v/>
      </c>
      <c r="Y733">
        <f>HYPERLINK("https://klasma.github.io/Logging_1465/tillsynsmail/A 30771-2022 tillsynsbegäran mail.docx", "A 30771-2022")</f>
        <v/>
      </c>
    </row>
    <row r="734" ht="15" customHeight="1">
      <c r="A734" t="inlineStr">
        <is>
          <t>A 30655-2023</t>
        </is>
      </c>
      <c r="B734" s="1" t="n">
        <v>45112.49369212963</v>
      </c>
      <c r="C734" s="1" t="n">
        <v>46011</v>
      </c>
      <c r="D734" t="inlineStr">
        <is>
          <t>VÄSTRA GÖTALANDS LÄN</t>
        </is>
      </c>
      <c r="E734" t="inlineStr">
        <is>
          <t>BOLLEBYGD</t>
        </is>
      </c>
      <c r="G734" t="n">
        <v>2.9</v>
      </c>
      <c r="H734" t="n">
        <v>0</v>
      </c>
      <c r="I734" t="n">
        <v>1</v>
      </c>
      <c r="J734" t="n">
        <v>0</v>
      </c>
      <c r="K734" t="n">
        <v>0</v>
      </c>
      <c r="L734" t="n">
        <v>0</v>
      </c>
      <c r="M734" t="n">
        <v>0</v>
      </c>
      <c r="N734" t="n">
        <v>0</v>
      </c>
      <c r="O734" t="n">
        <v>0</v>
      </c>
      <c r="P734" t="n">
        <v>0</v>
      </c>
      <c r="Q734" t="n">
        <v>1</v>
      </c>
      <c r="R734" s="2" t="inlineStr">
        <is>
          <t>Trädporella</t>
        </is>
      </c>
      <c r="S734">
        <f>HYPERLINK("https://klasma.github.io/Logging_1443/artfynd/A 30655-2023 artfynd.xlsx", "A 30655-2023")</f>
        <v/>
      </c>
      <c r="T734">
        <f>HYPERLINK("https://klasma.github.io/Logging_1443/kartor/A 30655-2023 karta.png", "A 30655-2023")</f>
        <v/>
      </c>
      <c r="V734">
        <f>HYPERLINK("https://klasma.github.io/Logging_1443/klagomål/A 30655-2023 FSC-klagomål.docx", "A 30655-2023")</f>
        <v/>
      </c>
      <c r="W734">
        <f>HYPERLINK("https://klasma.github.io/Logging_1443/klagomålsmail/A 30655-2023 FSC-klagomål mail.docx", "A 30655-2023")</f>
        <v/>
      </c>
      <c r="X734">
        <f>HYPERLINK("https://klasma.github.io/Logging_1443/tillsyn/A 30655-2023 tillsynsbegäran.docx", "A 30655-2023")</f>
        <v/>
      </c>
      <c r="Y734">
        <f>HYPERLINK("https://klasma.github.io/Logging_1443/tillsynsmail/A 30655-2023 tillsynsbegäran mail.docx", "A 30655-2023")</f>
        <v/>
      </c>
    </row>
    <row r="735" ht="15" customHeight="1">
      <c r="A735" t="inlineStr">
        <is>
          <t>A 57683-2023</t>
        </is>
      </c>
      <c r="B735" s="1" t="n">
        <v>45246</v>
      </c>
      <c r="C735" s="1" t="n">
        <v>46011</v>
      </c>
      <c r="D735" t="inlineStr">
        <is>
          <t>VÄSTRA GÖTALANDS LÄN</t>
        </is>
      </c>
      <c r="E735" t="inlineStr">
        <is>
          <t>FÄRGELANDA</t>
        </is>
      </c>
      <c r="G735" t="n">
        <v>4.1</v>
      </c>
      <c r="H735" t="n">
        <v>0</v>
      </c>
      <c r="I735" t="n">
        <v>0</v>
      </c>
      <c r="J735" t="n">
        <v>0</v>
      </c>
      <c r="K735" t="n">
        <v>1</v>
      </c>
      <c r="L735" t="n">
        <v>0</v>
      </c>
      <c r="M735" t="n">
        <v>0</v>
      </c>
      <c r="N735" t="n">
        <v>0</v>
      </c>
      <c r="O735" t="n">
        <v>1</v>
      </c>
      <c r="P735" t="n">
        <v>1</v>
      </c>
      <c r="Q735" t="n">
        <v>1</v>
      </c>
      <c r="R735" s="2" t="inlineStr">
        <is>
          <t>Källfräne</t>
        </is>
      </c>
      <c r="S735">
        <f>HYPERLINK("https://klasma.github.io/Logging_1439/artfynd/A 57683-2023 artfynd.xlsx", "A 57683-2023")</f>
        <v/>
      </c>
      <c r="T735">
        <f>HYPERLINK("https://klasma.github.io/Logging_1439/kartor/A 57683-2023 karta.png", "A 57683-2023")</f>
        <v/>
      </c>
      <c r="V735">
        <f>HYPERLINK("https://klasma.github.io/Logging_1439/klagomål/A 57683-2023 FSC-klagomål.docx", "A 57683-2023")</f>
        <v/>
      </c>
      <c r="W735">
        <f>HYPERLINK("https://klasma.github.io/Logging_1439/klagomålsmail/A 57683-2023 FSC-klagomål mail.docx", "A 57683-2023")</f>
        <v/>
      </c>
      <c r="X735">
        <f>HYPERLINK("https://klasma.github.io/Logging_1439/tillsyn/A 57683-2023 tillsynsbegäran.docx", "A 57683-2023")</f>
        <v/>
      </c>
      <c r="Y735">
        <f>HYPERLINK("https://klasma.github.io/Logging_1439/tillsynsmail/A 57683-2023 tillsynsbegäran mail.docx", "A 57683-2023")</f>
        <v/>
      </c>
    </row>
    <row r="736" ht="15" customHeight="1">
      <c r="A736" t="inlineStr">
        <is>
          <t>A 60816-2023</t>
        </is>
      </c>
      <c r="B736" s="1" t="n">
        <v>45260</v>
      </c>
      <c r="C736" s="1" t="n">
        <v>46011</v>
      </c>
      <c r="D736" t="inlineStr">
        <is>
          <t>VÄSTRA GÖTALANDS LÄN</t>
        </is>
      </c>
      <c r="E736" t="inlineStr">
        <is>
          <t>BORÅS</t>
        </is>
      </c>
      <c r="G736" t="n">
        <v>3.8</v>
      </c>
      <c r="H736" t="n">
        <v>0</v>
      </c>
      <c r="I736" t="n">
        <v>1</v>
      </c>
      <c r="J736" t="n">
        <v>0</v>
      </c>
      <c r="K736" t="n">
        <v>0</v>
      </c>
      <c r="L736" t="n">
        <v>0</v>
      </c>
      <c r="M736" t="n">
        <v>0</v>
      </c>
      <c r="N736" t="n">
        <v>0</v>
      </c>
      <c r="O736" t="n">
        <v>0</v>
      </c>
      <c r="P736" t="n">
        <v>0</v>
      </c>
      <c r="Q736" t="n">
        <v>1</v>
      </c>
      <c r="R736" s="2" t="inlineStr">
        <is>
          <t>Springkorn</t>
        </is>
      </c>
      <c r="S736">
        <f>HYPERLINK("https://klasma.github.io/Logging_1490/artfynd/A 60816-2023 artfynd.xlsx", "A 60816-2023")</f>
        <v/>
      </c>
      <c r="T736">
        <f>HYPERLINK("https://klasma.github.io/Logging_1490/kartor/A 60816-2023 karta.png", "A 60816-2023")</f>
        <v/>
      </c>
      <c r="V736">
        <f>HYPERLINK("https://klasma.github.io/Logging_1490/klagomål/A 60816-2023 FSC-klagomål.docx", "A 60816-2023")</f>
        <v/>
      </c>
      <c r="W736">
        <f>HYPERLINK("https://klasma.github.io/Logging_1490/klagomålsmail/A 60816-2023 FSC-klagomål mail.docx", "A 60816-2023")</f>
        <v/>
      </c>
      <c r="X736">
        <f>HYPERLINK("https://klasma.github.io/Logging_1490/tillsyn/A 60816-2023 tillsynsbegäran.docx", "A 60816-2023")</f>
        <v/>
      </c>
      <c r="Y736">
        <f>HYPERLINK("https://klasma.github.io/Logging_1490/tillsynsmail/A 60816-2023 tillsynsbegäran mail.docx", "A 60816-2023")</f>
        <v/>
      </c>
    </row>
    <row r="737" ht="15" customHeight="1">
      <c r="A737" t="inlineStr">
        <is>
          <t>A 60910-2023</t>
        </is>
      </c>
      <c r="B737" s="1" t="n">
        <v>45261.38623842593</v>
      </c>
      <c r="C737" s="1" t="n">
        <v>46011</v>
      </c>
      <c r="D737" t="inlineStr">
        <is>
          <t>VÄSTRA GÖTALANDS LÄN</t>
        </is>
      </c>
      <c r="E737" t="inlineStr">
        <is>
          <t>TRANEMO</t>
        </is>
      </c>
      <c r="G737" t="n">
        <v>1.1</v>
      </c>
      <c r="H737" t="n">
        <v>1</v>
      </c>
      <c r="I737" t="n">
        <v>0</v>
      </c>
      <c r="J737" t="n">
        <v>1</v>
      </c>
      <c r="K737" t="n">
        <v>0</v>
      </c>
      <c r="L737" t="n">
        <v>0</v>
      </c>
      <c r="M737" t="n">
        <v>0</v>
      </c>
      <c r="N737" t="n">
        <v>0</v>
      </c>
      <c r="O737" t="n">
        <v>1</v>
      </c>
      <c r="P737" t="n">
        <v>0</v>
      </c>
      <c r="Q737" t="n">
        <v>1</v>
      </c>
      <c r="R737" s="2" t="inlineStr">
        <is>
          <t>Smålom</t>
        </is>
      </c>
      <c r="S737">
        <f>HYPERLINK("https://klasma.github.io/Logging_1452/artfynd/A 60910-2023 artfynd.xlsx", "A 60910-2023")</f>
        <v/>
      </c>
      <c r="T737">
        <f>HYPERLINK("https://klasma.github.io/Logging_1452/kartor/A 60910-2023 karta.png", "A 60910-2023")</f>
        <v/>
      </c>
      <c r="V737">
        <f>HYPERLINK("https://klasma.github.io/Logging_1452/klagomål/A 60910-2023 FSC-klagomål.docx", "A 60910-2023")</f>
        <v/>
      </c>
      <c r="W737">
        <f>HYPERLINK("https://klasma.github.io/Logging_1452/klagomålsmail/A 60910-2023 FSC-klagomål mail.docx", "A 60910-2023")</f>
        <v/>
      </c>
      <c r="X737">
        <f>HYPERLINK("https://klasma.github.io/Logging_1452/tillsyn/A 60910-2023 tillsynsbegäran.docx", "A 60910-2023")</f>
        <v/>
      </c>
      <c r="Y737">
        <f>HYPERLINK("https://klasma.github.io/Logging_1452/tillsynsmail/A 60910-2023 tillsynsbegäran mail.docx", "A 60910-2023")</f>
        <v/>
      </c>
      <c r="Z737">
        <f>HYPERLINK("https://klasma.github.io/Logging_1452/fåglar/A 60910-2023 prioriterade fågelarter.docx", "A 60910-2023")</f>
        <v/>
      </c>
    </row>
    <row r="738" ht="15" customHeight="1">
      <c r="A738" t="inlineStr">
        <is>
          <t>A 17272-2023</t>
        </is>
      </c>
      <c r="B738" s="1" t="n">
        <v>45035.43792824074</v>
      </c>
      <c r="C738" s="1" t="n">
        <v>46011</v>
      </c>
      <c r="D738" t="inlineStr">
        <is>
          <t>VÄSTRA GÖTALANDS LÄN</t>
        </is>
      </c>
      <c r="E738" t="inlineStr">
        <is>
          <t>MARIESTAD</t>
        </is>
      </c>
      <c r="G738" t="n">
        <v>3</v>
      </c>
      <c r="H738" t="n">
        <v>0</v>
      </c>
      <c r="I738" t="n">
        <v>0</v>
      </c>
      <c r="J738" t="n">
        <v>1</v>
      </c>
      <c r="K738" t="n">
        <v>0</v>
      </c>
      <c r="L738" t="n">
        <v>0</v>
      </c>
      <c r="M738" t="n">
        <v>0</v>
      </c>
      <c r="N738" t="n">
        <v>0</v>
      </c>
      <c r="O738" t="n">
        <v>1</v>
      </c>
      <c r="P738" t="n">
        <v>0</v>
      </c>
      <c r="Q738" t="n">
        <v>1</v>
      </c>
      <c r="R738" s="2" t="inlineStr">
        <is>
          <t>Gullklöver</t>
        </is>
      </c>
      <c r="S738">
        <f>HYPERLINK("https://klasma.github.io/Logging_1493/artfynd/A 17272-2023 artfynd.xlsx", "A 17272-2023")</f>
        <v/>
      </c>
      <c r="T738">
        <f>HYPERLINK("https://klasma.github.io/Logging_1493/kartor/A 17272-2023 karta.png", "A 17272-2023")</f>
        <v/>
      </c>
      <c r="V738">
        <f>HYPERLINK("https://klasma.github.io/Logging_1493/klagomål/A 17272-2023 FSC-klagomål.docx", "A 17272-2023")</f>
        <v/>
      </c>
      <c r="W738">
        <f>HYPERLINK("https://klasma.github.io/Logging_1493/klagomålsmail/A 17272-2023 FSC-klagomål mail.docx", "A 17272-2023")</f>
        <v/>
      </c>
      <c r="X738">
        <f>HYPERLINK("https://klasma.github.io/Logging_1493/tillsyn/A 17272-2023 tillsynsbegäran.docx", "A 17272-2023")</f>
        <v/>
      </c>
      <c r="Y738">
        <f>HYPERLINK("https://klasma.github.io/Logging_1493/tillsynsmail/A 17272-2023 tillsynsbegäran mail.docx", "A 17272-2023")</f>
        <v/>
      </c>
    </row>
    <row r="739" ht="15" customHeight="1">
      <c r="A739" t="inlineStr">
        <is>
          <t>A 6484-2021</t>
        </is>
      </c>
      <c r="B739" s="1" t="n">
        <v>44235</v>
      </c>
      <c r="C739" s="1" t="n">
        <v>46011</v>
      </c>
      <c r="D739" t="inlineStr">
        <is>
          <t>VÄSTRA GÖTALANDS LÄN</t>
        </is>
      </c>
      <c r="E739" t="inlineStr">
        <is>
          <t>SKÖVDE</t>
        </is>
      </c>
      <c r="G739" t="n">
        <v>2.9</v>
      </c>
      <c r="H739" t="n">
        <v>0</v>
      </c>
      <c r="I739" t="n">
        <v>1</v>
      </c>
      <c r="J739" t="n">
        <v>0</v>
      </c>
      <c r="K739" t="n">
        <v>0</v>
      </c>
      <c r="L739" t="n">
        <v>0</v>
      </c>
      <c r="M739" t="n">
        <v>0</v>
      </c>
      <c r="N739" t="n">
        <v>0</v>
      </c>
      <c r="O739" t="n">
        <v>0</v>
      </c>
      <c r="P739" t="n">
        <v>0</v>
      </c>
      <c r="Q739" t="n">
        <v>1</v>
      </c>
      <c r="R739" s="2" t="inlineStr">
        <is>
          <t>Tibast</t>
        </is>
      </c>
      <c r="S739">
        <f>HYPERLINK("https://klasma.github.io/Logging_1496/artfynd/A 6484-2021 artfynd.xlsx", "A 6484-2021")</f>
        <v/>
      </c>
      <c r="T739">
        <f>HYPERLINK("https://klasma.github.io/Logging_1496/kartor/A 6484-2021 karta.png", "A 6484-2021")</f>
        <v/>
      </c>
      <c r="V739">
        <f>HYPERLINK("https://klasma.github.io/Logging_1496/klagomål/A 6484-2021 FSC-klagomål.docx", "A 6484-2021")</f>
        <v/>
      </c>
      <c r="W739">
        <f>HYPERLINK("https://klasma.github.io/Logging_1496/klagomålsmail/A 6484-2021 FSC-klagomål mail.docx", "A 6484-2021")</f>
        <v/>
      </c>
      <c r="X739">
        <f>HYPERLINK("https://klasma.github.io/Logging_1496/tillsyn/A 6484-2021 tillsynsbegäran.docx", "A 6484-2021")</f>
        <v/>
      </c>
      <c r="Y739">
        <f>HYPERLINK("https://klasma.github.io/Logging_1496/tillsynsmail/A 6484-2021 tillsynsbegäran mail.docx", "A 6484-2021")</f>
        <v/>
      </c>
    </row>
    <row r="740" ht="15" customHeight="1">
      <c r="A740" t="inlineStr">
        <is>
          <t>A 4669-2025</t>
        </is>
      </c>
      <c r="B740" s="1" t="n">
        <v>45687.77530092592</v>
      </c>
      <c r="C740" s="1" t="n">
        <v>46011</v>
      </c>
      <c r="D740" t="inlineStr">
        <is>
          <t>VÄSTRA GÖTALANDS LÄN</t>
        </is>
      </c>
      <c r="E740" t="inlineStr">
        <is>
          <t>FÄRGELANDA</t>
        </is>
      </c>
      <c r="G740" t="n">
        <v>1.7</v>
      </c>
      <c r="H740" t="n">
        <v>1</v>
      </c>
      <c r="I740" t="n">
        <v>0</v>
      </c>
      <c r="J740" t="n">
        <v>1</v>
      </c>
      <c r="K740" t="n">
        <v>0</v>
      </c>
      <c r="L740" t="n">
        <v>0</v>
      </c>
      <c r="M740" t="n">
        <v>0</v>
      </c>
      <c r="N740" t="n">
        <v>0</v>
      </c>
      <c r="O740" t="n">
        <v>1</v>
      </c>
      <c r="P740" t="n">
        <v>0</v>
      </c>
      <c r="Q740" t="n">
        <v>1</v>
      </c>
      <c r="R740" s="2" t="inlineStr">
        <is>
          <t>Spillkråka</t>
        </is>
      </c>
      <c r="S740">
        <f>HYPERLINK("https://klasma.github.io/Logging_1439/artfynd/A 4669-2025 artfynd.xlsx", "A 4669-2025")</f>
        <v/>
      </c>
      <c r="T740">
        <f>HYPERLINK("https://klasma.github.io/Logging_1439/kartor/A 4669-2025 karta.png", "A 4669-2025")</f>
        <v/>
      </c>
      <c r="V740">
        <f>HYPERLINK("https://klasma.github.io/Logging_1439/klagomål/A 4669-2025 FSC-klagomål.docx", "A 4669-2025")</f>
        <v/>
      </c>
      <c r="W740">
        <f>HYPERLINK("https://klasma.github.io/Logging_1439/klagomålsmail/A 4669-2025 FSC-klagomål mail.docx", "A 4669-2025")</f>
        <v/>
      </c>
      <c r="X740">
        <f>HYPERLINK("https://klasma.github.io/Logging_1439/tillsyn/A 4669-2025 tillsynsbegäran.docx", "A 4669-2025")</f>
        <v/>
      </c>
      <c r="Y740">
        <f>HYPERLINK("https://klasma.github.io/Logging_1439/tillsynsmail/A 4669-2025 tillsynsbegäran mail.docx", "A 4669-2025")</f>
        <v/>
      </c>
      <c r="Z740">
        <f>HYPERLINK("https://klasma.github.io/Logging_1439/fåglar/A 4669-2025 prioriterade fågelarter.docx", "A 4669-2025")</f>
        <v/>
      </c>
    </row>
    <row r="741" ht="15" customHeight="1">
      <c r="A741" t="inlineStr">
        <is>
          <t>A 31742-2023</t>
        </is>
      </c>
      <c r="B741" s="1" t="n">
        <v>45117</v>
      </c>
      <c r="C741" s="1" t="n">
        <v>46011</v>
      </c>
      <c r="D741" t="inlineStr">
        <is>
          <t>VÄSTRA GÖTALANDS LÄN</t>
        </is>
      </c>
      <c r="E741" t="inlineStr">
        <is>
          <t>BOLLEBYGD</t>
        </is>
      </c>
      <c r="G741" t="n">
        <v>2.9</v>
      </c>
      <c r="H741" t="n">
        <v>1</v>
      </c>
      <c r="I741" t="n">
        <v>0</v>
      </c>
      <c r="J741" t="n">
        <v>1</v>
      </c>
      <c r="K741" t="n">
        <v>0</v>
      </c>
      <c r="L741" t="n">
        <v>0</v>
      </c>
      <c r="M741" t="n">
        <v>0</v>
      </c>
      <c r="N741" t="n">
        <v>0</v>
      </c>
      <c r="O741" t="n">
        <v>1</v>
      </c>
      <c r="P741" t="n">
        <v>0</v>
      </c>
      <c r="Q741" t="n">
        <v>1</v>
      </c>
      <c r="R741" s="2" t="inlineStr">
        <is>
          <t>Spillkråka</t>
        </is>
      </c>
      <c r="S741">
        <f>HYPERLINK("https://klasma.github.io/Logging_1443/artfynd/A 31742-2023 artfynd.xlsx", "A 31742-2023")</f>
        <v/>
      </c>
      <c r="T741">
        <f>HYPERLINK("https://klasma.github.io/Logging_1443/kartor/A 31742-2023 karta.png", "A 31742-2023")</f>
        <v/>
      </c>
      <c r="V741">
        <f>HYPERLINK("https://klasma.github.io/Logging_1443/klagomål/A 31742-2023 FSC-klagomål.docx", "A 31742-2023")</f>
        <v/>
      </c>
      <c r="W741">
        <f>HYPERLINK("https://klasma.github.io/Logging_1443/klagomålsmail/A 31742-2023 FSC-klagomål mail.docx", "A 31742-2023")</f>
        <v/>
      </c>
      <c r="X741">
        <f>HYPERLINK("https://klasma.github.io/Logging_1443/tillsyn/A 31742-2023 tillsynsbegäran.docx", "A 31742-2023")</f>
        <v/>
      </c>
      <c r="Y741">
        <f>HYPERLINK("https://klasma.github.io/Logging_1443/tillsynsmail/A 31742-2023 tillsynsbegäran mail.docx", "A 31742-2023")</f>
        <v/>
      </c>
      <c r="Z741">
        <f>HYPERLINK("https://klasma.github.io/Logging_1443/fåglar/A 31742-2023 prioriterade fågelarter.docx", "A 31742-2023")</f>
        <v/>
      </c>
    </row>
    <row r="742" ht="15" customHeight="1">
      <c r="A742" t="inlineStr">
        <is>
          <t>A 30763-2023</t>
        </is>
      </c>
      <c r="B742" s="1" t="n">
        <v>45112</v>
      </c>
      <c r="C742" s="1" t="n">
        <v>46011</v>
      </c>
      <c r="D742" t="inlineStr">
        <is>
          <t>VÄSTRA GÖTALANDS LÄN</t>
        </is>
      </c>
      <c r="E742" t="inlineStr">
        <is>
          <t>BOLLEBYGD</t>
        </is>
      </c>
      <c r="G742" t="n">
        <v>4.9</v>
      </c>
      <c r="H742" t="n">
        <v>1</v>
      </c>
      <c r="I742" t="n">
        <v>0</v>
      </c>
      <c r="J742" t="n">
        <v>1</v>
      </c>
      <c r="K742" t="n">
        <v>0</v>
      </c>
      <c r="L742" t="n">
        <v>0</v>
      </c>
      <c r="M742" t="n">
        <v>0</v>
      </c>
      <c r="N742" t="n">
        <v>0</v>
      </c>
      <c r="O742" t="n">
        <v>1</v>
      </c>
      <c r="P742" t="n">
        <v>0</v>
      </c>
      <c r="Q742" t="n">
        <v>1</v>
      </c>
      <c r="R742" s="2" t="inlineStr">
        <is>
          <t>Spillkråka</t>
        </is>
      </c>
      <c r="S742">
        <f>HYPERLINK("https://klasma.github.io/Logging_1443/artfynd/A 30763-2023 artfynd.xlsx", "A 30763-2023")</f>
        <v/>
      </c>
      <c r="T742">
        <f>HYPERLINK("https://klasma.github.io/Logging_1443/kartor/A 30763-2023 karta.png", "A 30763-2023")</f>
        <v/>
      </c>
      <c r="V742">
        <f>HYPERLINK("https://klasma.github.io/Logging_1443/klagomål/A 30763-2023 FSC-klagomål.docx", "A 30763-2023")</f>
        <v/>
      </c>
      <c r="W742">
        <f>HYPERLINK("https://klasma.github.io/Logging_1443/klagomålsmail/A 30763-2023 FSC-klagomål mail.docx", "A 30763-2023")</f>
        <v/>
      </c>
      <c r="X742">
        <f>HYPERLINK("https://klasma.github.io/Logging_1443/tillsyn/A 30763-2023 tillsynsbegäran.docx", "A 30763-2023")</f>
        <v/>
      </c>
      <c r="Y742">
        <f>HYPERLINK("https://klasma.github.io/Logging_1443/tillsynsmail/A 30763-2023 tillsynsbegäran mail.docx", "A 30763-2023")</f>
        <v/>
      </c>
      <c r="Z742">
        <f>HYPERLINK("https://klasma.github.io/Logging_1443/fåglar/A 30763-2023 prioriterade fågelarter.docx", "A 30763-2023")</f>
        <v/>
      </c>
    </row>
    <row r="743" ht="15" customHeight="1">
      <c r="A743" t="inlineStr">
        <is>
          <t>A 23226-2021</t>
        </is>
      </c>
      <c r="B743" s="1" t="n">
        <v>44333</v>
      </c>
      <c r="C743" s="1" t="n">
        <v>46011</v>
      </c>
      <c r="D743" t="inlineStr">
        <is>
          <t>VÄSTRA GÖTALANDS LÄN</t>
        </is>
      </c>
      <c r="E743" t="inlineStr">
        <is>
          <t>BENGTSFORS</t>
        </is>
      </c>
      <c r="G743" t="n">
        <v>5.4</v>
      </c>
      <c r="H743" t="n">
        <v>0</v>
      </c>
      <c r="I743" t="n">
        <v>0</v>
      </c>
      <c r="J743" t="n">
        <v>1</v>
      </c>
      <c r="K743" t="n">
        <v>0</v>
      </c>
      <c r="L743" t="n">
        <v>0</v>
      </c>
      <c r="M743" t="n">
        <v>0</v>
      </c>
      <c r="N743" t="n">
        <v>0</v>
      </c>
      <c r="O743" t="n">
        <v>1</v>
      </c>
      <c r="P743" t="n">
        <v>0</v>
      </c>
      <c r="Q743" t="n">
        <v>1</v>
      </c>
      <c r="R743" s="2" t="inlineStr">
        <is>
          <t>Tallticka</t>
        </is>
      </c>
      <c r="S743">
        <f>HYPERLINK("https://klasma.github.io/Logging_1460/artfynd/A 23226-2021 artfynd.xlsx", "A 23226-2021")</f>
        <v/>
      </c>
      <c r="T743">
        <f>HYPERLINK("https://klasma.github.io/Logging_1460/kartor/A 23226-2021 karta.png", "A 23226-2021")</f>
        <v/>
      </c>
      <c r="V743">
        <f>HYPERLINK("https://klasma.github.io/Logging_1460/klagomål/A 23226-2021 FSC-klagomål.docx", "A 23226-2021")</f>
        <v/>
      </c>
      <c r="W743">
        <f>HYPERLINK("https://klasma.github.io/Logging_1460/klagomålsmail/A 23226-2021 FSC-klagomål mail.docx", "A 23226-2021")</f>
        <v/>
      </c>
      <c r="X743">
        <f>HYPERLINK("https://klasma.github.io/Logging_1460/tillsyn/A 23226-2021 tillsynsbegäran.docx", "A 23226-2021")</f>
        <v/>
      </c>
      <c r="Y743">
        <f>HYPERLINK("https://klasma.github.io/Logging_1460/tillsynsmail/A 23226-2021 tillsynsbegäran mail.docx", "A 23226-2021")</f>
        <v/>
      </c>
    </row>
    <row r="744" ht="15" customHeight="1">
      <c r="A744" t="inlineStr">
        <is>
          <t>A 100-2023</t>
        </is>
      </c>
      <c r="B744" s="1" t="n">
        <v>44928</v>
      </c>
      <c r="C744" s="1" t="n">
        <v>46011</v>
      </c>
      <c r="D744" t="inlineStr">
        <is>
          <t>VÄSTRA GÖTALANDS LÄN</t>
        </is>
      </c>
      <c r="E744" t="inlineStr">
        <is>
          <t>SKÖVDE</t>
        </is>
      </c>
      <c r="F744" t="inlineStr">
        <is>
          <t>Kommuner</t>
        </is>
      </c>
      <c r="G744" t="n">
        <v>1.4</v>
      </c>
      <c r="H744" t="n">
        <v>0</v>
      </c>
      <c r="I744" t="n">
        <v>0</v>
      </c>
      <c r="J744" t="n">
        <v>1</v>
      </c>
      <c r="K744" t="n">
        <v>0</v>
      </c>
      <c r="L744" t="n">
        <v>0</v>
      </c>
      <c r="M744" t="n">
        <v>0</v>
      </c>
      <c r="N744" t="n">
        <v>0</v>
      </c>
      <c r="O744" t="n">
        <v>1</v>
      </c>
      <c r="P744" t="n">
        <v>0</v>
      </c>
      <c r="Q744" t="n">
        <v>1</v>
      </c>
      <c r="R744" s="2" t="inlineStr">
        <is>
          <t>Borsttåg</t>
        </is>
      </c>
      <c r="S744">
        <f>HYPERLINK("https://klasma.github.io/Logging_1496/artfynd/A 100-2023 artfynd.xlsx", "A 100-2023")</f>
        <v/>
      </c>
      <c r="T744">
        <f>HYPERLINK("https://klasma.github.io/Logging_1496/kartor/A 100-2023 karta.png", "A 100-2023")</f>
        <v/>
      </c>
      <c r="V744">
        <f>HYPERLINK("https://klasma.github.io/Logging_1496/klagomål/A 100-2023 FSC-klagomål.docx", "A 100-2023")</f>
        <v/>
      </c>
      <c r="W744">
        <f>HYPERLINK("https://klasma.github.io/Logging_1496/klagomålsmail/A 100-2023 FSC-klagomål mail.docx", "A 100-2023")</f>
        <v/>
      </c>
      <c r="X744">
        <f>HYPERLINK("https://klasma.github.io/Logging_1496/tillsyn/A 100-2023 tillsynsbegäran.docx", "A 100-2023")</f>
        <v/>
      </c>
      <c r="Y744">
        <f>HYPERLINK("https://klasma.github.io/Logging_1496/tillsynsmail/A 100-2023 tillsynsbegäran mail.docx", "A 100-2023")</f>
        <v/>
      </c>
    </row>
    <row r="745" ht="15" customHeight="1">
      <c r="A745" t="inlineStr">
        <is>
          <t>A 56535-2024</t>
        </is>
      </c>
      <c r="B745" s="1" t="n">
        <v>45625</v>
      </c>
      <c r="C745" s="1" t="n">
        <v>46011</v>
      </c>
      <c r="D745" t="inlineStr">
        <is>
          <t>VÄSTRA GÖTALANDS LÄN</t>
        </is>
      </c>
      <c r="E745" t="inlineStr">
        <is>
          <t>GULLSPÅNG</t>
        </is>
      </c>
      <c r="G745" t="n">
        <v>2.1</v>
      </c>
      <c r="H745" t="n">
        <v>0</v>
      </c>
      <c r="I745" t="n">
        <v>0</v>
      </c>
      <c r="J745" t="n">
        <v>0</v>
      </c>
      <c r="K745" t="n">
        <v>1</v>
      </c>
      <c r="L745" t="n">
        <v>0</v>
      </c>
      <c r="M745" t="n">
        <v>0</v>
      </c>
      <c r="N745" t="n">
        <v>0</v>
      </c>
      <c r="O745" t="n">
        <v>1</v>
      </c>
      <c r="P745" t="n">
        <v>1</v>
      </c>
      <c r="Q745" t="n">
        <v>1</v>
      </c>
      <c r="R745" s="2" t="inlineStr">
        <is>
          <t>Koppartaggsvamp</t>
        </is>
      </c>
      <c r="S745">
        <f>HYPERLINK("https://klasma.github.io/Logging_1447/artfynd/A 56535-2024 artfynd.xlsx", "A 56535-2024")</f>
        <v/>
      </c>
      <c r="T745">
        <f>HYPERLINK("https://klasma.github.io/Logging_1447/kartor/A 56535-2024 karta.png", "A 56535-2024")</f>
        <v/>
      </c>
      <c r="V745">
        <f>HYPERLINK("https://klasma.github.io/Logging_1447/klagomål/A 56535-2024 FSC-klagomål.docx", "A 56535-2024")</f>
        <v/>
      </c>
      <c r="W745">
        <f>HYPERLINK("https://klasma.github.io/Logging_1447/klagomålsmail/A 56535-2024 FSC-klagomål mail.docx", "A 56535-2024")</f>
        <v/>
      </c>
      <c r="X745">
        <f>HYPERLINK("https://klasma.github.io/Logging_1447/tillsyn/A 56535-2024 tillsynsbegäran.docx", "A 56535-2024")</f>
        <v/>
      </c>
      <c r="Y745">
        <f>HYPERLINK("https://klasma.github.io/Logging_1447/tillsynsmail/A 56535-2024 tillsynsbegäran mail.docx", "A 56535-2024")</f>
        <v/>
      </c>
    </row>
    <row r="746" ht="15" customHeight="1">
      <c r="A746" t="inlineStr">
        <is>
          <t>A 20709-2023</t>
        </is>
      </c>
      <c r="B746" s="1" t="n">
        <v>45058</v>
      </c>
      <c r="C746" s="1" t="n">
        <v>46011</v>
      </c>
      <c r="D746" t="inlineStr">
        <is>
          <t>VÄSTRA GÖTALANDS LÄN</t>
        </is>
      </c>
      <c r="E746" t="inlineStr">
        <is>
          <t>ORUST</t>
        </is>
      </c>
      <c r="G746" t="n">
        <v>4.3</v>
      </c>
      <c r="H746" t="n">
        <v>1</v>
      </c>
      <c r="I746" t="n">
        <v>0</v>
      </c>
      <c r="J746" t="n">
        <v>0</v>
      </c>
      <c r="K746" t="n">
        <v>1</v>
      </c>
      <c r="L746" t="n">
        <v>0</v>
      </c>
      <c r="M746" t="n">
        <v>0</v>
      </c>
      <c r="N746" t="n">
        <v>0</v>
      </c>
      <c r="O746" t="n">
        <v>1</v>
      </c>
      <c r="P746" t="n">
        <v>1</v>
      </c>
      <c r="Q746" t="n">
        <v>1</v>
      </c>
      <c r="R746" s="2" t="inlineStr">
        <is>
          <t>Knärot</t>
        </is>
      </c>
      <c r="S746">
        <f>HYPERLINK("https://klasma.github.io/Logging_1421/artfynd/A 20709-2023 artfynd.xlsx", "A 20709-2023")</f>
        <v/>
      </c>
      <c r="T746">
        <f>HYPERLINK("https://klasma.github.io/Logging_1421/kartor/A 20709-2023 karta.png", "A 20709-2023")</f>
        <v/>
      </c>
      <c r="U746">
        <f>HYPERLINK("https://klasma.github.io/Logging_1421/knärot/A 20709-2023 karta knärot.png", "A 20709-2023")</f>
        <v/>
      </c>
      <c r="V746">
        <f>HYPERLINK("https://klasma.github.io/Logging_1421/klagomål/A 20709-2023 FSC-klagomål.docx", "A 20709-2023")</f>
        <v/>
      </c>
      <c r="W746">
        <f>HYPERLINK("https://klasma.github.io/Logging_1421/klagomålsmail/A 20709-2023 FSC-klagomål mail.docx", "A 20709-2023")</f>
        <v/>
      </c>
      <c r="X746">
        <f>HYPERLINK("https://klasma.github.io/Logging_1421/tillsyn/A 20709-2023 tillsynsbegäran.docx", "A 20709-2023")</f>
        <v/>
      </c>
      <c r="Y746">
        <f>HYPERLINK("https://klasma.github.io/Logging_1421/tillsynsmail/A 20709-2023 tillsynsbegäran mail.docx", "A 20709-2023")</f>
        <v/>
      </c>
    </row>
    <row r="747" ht="15" customHeight="1">
      <c r="A747" t="inlineStr">
        <is>
          <t>A 4113-2023</t>
        </is>
      </c>
      <c r="B747" s="1" t="n">
        <v>44952</v>
      </c>
      <c r="C747" s="1" t="n">
        <v>46011</v>
      </c>
      <c r="D747" t="inlineStr">
        <is>
          <t>VÄSTRA GÖTALANDS LÄN</t>
        </is>
      </c>
      <c r="E747" t="inlineStr">
        <is>
          <t>DALS-ED</t>
        </is>
      </c>
      <c r="G747" t="n">
        <v>7.9</v>
      </c>
      <c r="H747" t="n">
        <v>0</v>
      </c>
      <c r="I747" t="n">
        <v>0</v>
      </c>
      <c r="J747" t="n">
        <v>0</v>
      </c>
      <c r="K747" t="n">
        <v>1</v>
      </c>
      <c r="L747" t="n">
        <v>0</v>
      </c>
      <c r="M747" t="n">
        <v>0</v>
      </c>
      <c r="N747" t="n">
        <v>0</v>
      </c>
      <c r="O747" t="n">
        <v>1</v>
      </c>
      <c r="P747" t="n">
        <v>1</v>
      </c>
      <c r="Q747" t="n">
        <v>1</v>
      </c>
      <c r="R747" s="2" t="inlineStr">
        <is>
          <t>Slåttergubbe</t>
        </is>
      </c>
      <c r="S747">
        <f>HYPERLINK("https://klasma.github.io/Logging_1438/artfynd/A 4113-2023 artfynd.xlsx", "A 4113-2023")</f>
        <v/>
      </c>
      <c r="T747">
        <f>HYPERLINK("https://klasma.github.io/Logging_1438/kartor/A 4113-2023 karta.png", "A 4113-2023")</f>
        <v/>
      </c>
      <c r="V747">
        <f>HYPERLINK("https://klasma.github.io/Logging_1438/klagomål/A 4113-2023 FSC-klagomål.docx", "A 4113-2023")</f>
        <v/>
      </c>
      <c r="W747">
        <f>HYPERLINK("https://klasma.github.io/Logging_1438/klagomålsmail/A 4113-2023 FSC-klagomål mail.docx", "A 4113-2023")</f>
        <v/>
      </c>
      <c r="X747">
        <f>HYPERLINK("https://klasma.github.io/Logging_1438/tillsyn/A 4113-2023 tillsynsbegäran.docx", "A 4113-2023")</f>
        <v/>
      </c>
      <c r="Y747">
        <f>HYPERLINK("https://klasma.github.io/Logging_1438/tillsynsmail/A 4113-2023 tillsynsbegäran mail.docx", "A 4113-2023")</f>
        <v/>
      </c>
    </row>
    <row r="748" ht="15" customHeight="1">
      <c r="A748" t="inlineStr">
        <is>
          <t>A 2555-2023</t>
        </is>
      </c>
      <c r="B748" s="1" t="n">
        <v>44943</v>
      </c>
      <c r="C748" s="1" t="n">
        <v>46011</v>
      </c>
      <c r="D748" t="inlineStr">
        <is>
          <t>VÄSTRA GÖTALANDS LÄN</t>
        </is>
      </c>
      <c r="E748" t="inlineStr">
        <is>
          <t>MUNKEDAL</t>
        </is>
      </c>
      <c r="G748" t="n">
        <v>3.1</v>
      </c>
      <c r="H748" t="n">
        <v>0</v>
      </c>
      <c r="I748" t="n">
        <v>1</v>
      </c>
      <c r="J748" t="n">
        <v>0</v>
      </c>
      <c r="K748" t="n">
        <v>0</v>
      </c>
      <c r="L748" t="n">
        <v>0</v>
      </c>
      <c r="M748" t="n">
        <v>0</v>
      </c>
      <c r="N748" t="n">
        <v>0</v>
      </c>
      <c r="O748" t="n">
        <v>0</v>
      </c>
      <c r="P748" t="n">
        <v>0</v>
      </c>
      <c r="Q748" t="n">
        <v>1</v>
      </c>
      <c r="R748" s="2" t="inlineStr">
        <is>
          <t>Svart trolldruva</t>
        </is>
      </c>
      <c r="S748">
        <f>HYPERLINK("https://klasma.github.io/Logging_1430/artfynd/A 2555-2023 artfynd.xlsx", "A 2555-2023")</f>
        <v/>
      </c>
      <c r="T748">
        <f>HYPERLINK("https://klasma.github.io/Logging_1430/kartor/A 2555-2023 karta.png", "A 2555-2023")</f>
        <v/>
      </c>
      <c r="V748">
        <f>HYPERLINK("https://klasma.github.io/Logging_1430/klagomål/A 2555-2023 FSC-klagomål.docx", "A 2555-2023")</f>
        <v/>
      </c>
      <c r="W748">
        <f>HYPERLINK("https://klasma.github.io/Logging_1430/klagomålsmail/A 2555-2023 FSC-klagomål mail.docx", "A 2555-2023")</f>
        <v/>
      </c>
      <c r="X748">
        <f>HYPERLINK("https://klasma.github.io/Logging_1430/tillsyn/A 2555-2023 tillsynsbegäran.docx", "A 2555-2023")</f>
        <v/>
      </c>
      <c r="Y748">
        <f>HYPERLINK("https://klasma.github.io/Logging_1430/tillsynsmail/A 2555-2023 tillsynsbegäran mail.docx", "A 2555-2023")</f>
        <v/>
      </c>
    </row>
    <row r="749" ht="15" customHeight="1">
      <c r="A749" t="inlineStr">
        <is>
          <t>A 18387-2025</t>
        </is>
      </c>
      <c r="B749" s="1" t="n">
        <v>45762.58939814815</v>
      </c>
      <c r="C749" s="1" t="n">
        <v>46011</v>
      </c>
      <c r="D749" t="inlineStr">
        <is>
          <t>VÄSTRA GÖTALANDS LÄN</t>
        </is>
      </c>
      <c r="E749" t="inlineStr">
        <is>
          <t>UDDEVALLA</t>
        </is>
      </c>
      <c r="G749" t="n">
        <v>0.6</v>
      </c>
      <c r="H749" t="n">
        <v>1</v>
      </c>
      <c r="I749" t="n">
        <v>0</v>
      </c>
      <c r="J749" t="n">
        <v>0</v>
      </c>
      <c r="K749" t="n">
        <v>0</v>
      </c>
      <c r="L749" t="n">
        <v>0</v>
      </c>
      <c r="M749" t="n">
        <v>0</v>
      </c>
      <c r="N749" t="n">
        <v>0</v>
      </c>
      <c r="O749" t="n">
        <v>0</v>
      </c>
      <c r="P749" t="n">
        <v>0</v>
      </c>
      <c r="Q749" t="n">
        <v>1</v>
      </c>
      <c r="R749" s="2" t="inlineStr">
        <is>
          <t>Vanlig groda</t>
        </is>
      </c>
      <c r="S749">
        <f>HYPERLINK("https://klasma.github.io/Logging_1485/artfynd/A 18387-2025 artfynd.xlsx", "A 18387-2025")</f>
        <v/>
      </c>
      <c r="T749">
        <f>HYPERLINK("https://klasma.github.io/Logging_1485/kartor/A 18387-2025 karta.png", "A 18387-2025")</f>
        <v/>
      </c>
      <c r="V749">
        <f>HYPERLINK("https://klasma.github.io/Logging_1485/klagomål/A 18387-2025 FSC-klagomål.docx", "A 18387-2025")</f>
        <v/>
      </c>
      <c r="W749">
        <f>HYPERLINK("https://klasma.github.io/Logging_1485/klagomålsmail/A 18387-2025 FSC-klagomål mail.docx", "A 18387-2025")</f>
        <v/>
      </c>
      <c r="X749">
        <f>HYPERLINK("https://klasma.github.io/Logging_1485/tillsyn/A 18387-2025 tillsynsbegäran.docx", "A 18387-2025")</f>
        <v/>
      </c>
      <c r="Y749">
        <f>HYPERLINK("https://klasma.github.io/Logging_1485/tillsynsmail/A 18387-2025 tillsynsbegäran mail.docx", "A 18387-2025")</f>
        <v/>
      </c>
    </row>
    <row r="750" ht="15" customHeight="1">
      <c r="A750" t="inlineStr">
        <is>
          <t>A 10455-2024</t>
        </is>
      </c>
      <c r="B750" s="1" t="n">
        <v>45366</v>
      </c>
      <c r="C750" s="1" t="n">
        <v>46011</v>
      </c>
      <c r="D750" t="inlineStr">
        <is>
          <t>VÄSTRA GÖTALANDS LÄN</t>
        </is>
      </c>
      <c r="E750" t="inlineStr">
        <is>
          <t>FALKÖPING</t>
        </is>
      </c>
      <c r="G750" t="n">
        <v>2.5</v>
      </c>
      <c r="H750" t="n">
        <v>1</v>
      </c>
      <c r="I750" t="n">
        <v>0</v>
      </c>
      <c r="J750" t="n">
        <v>0</v>
      </c>
      <c r="K750" t="n">
        <v>0</v>
      </c>
      <c r="L750" t="n">
        <v>1</v>
      </c>
      <c r="M750" t="n">
        <v>0</v>
      </c>
      <c r="N750" t="n">
        <v>0</v>
      </c>
      <c r="O750" t="n">
        <v>1</v>
      </c>
      <c r="P750" t="n">
        <v>1</v>
      </c>
      <c r="Q750" t="n">
        <v>1</v>
      </c>
      <c r="R750" s="2" t="inlineStr">
        <is>
          <t>Storspov</t>
        </is>
      </c>
      <c r="S750">
        <f>HYPERLINK("https://klasma.github.io/Logging_1499/artfynd/A 10455-2024 artfynd.xlsx", "A 10455-2024")</f>
        <v/>
      </c>
      <c r="T750">
        <f>HYPERLINK("https://klasma.github.io/Logging_1499/kartor/A 10455-2024 karta.png", "A 10455-2024")</f>
        <v/>
      </c>
      <c r="V750">
        <f>HYPERLINK("https://klasma.github.io/Logging_1499/klagomål/A 10455-2024 FSC-klagomål.docx", "A 10455-2024")</f>
        <v/>
      </c>
      <c r="W750">
        <f>HYPERLINK("https://klasma.github.io/Logging_1499/klagomålsmail/A 10455-2024 FSC-klagomål mail.docx", "A 10455-2024")</f>
        <v/>
      </c>
      <c r="X750">
        <f>HYPERLINK("https://klasma.github.io/Logging_1499/tillsyn/A 10455-2024 tillsynsbegäran.docx", "A 10455-2024")</f>
        <v/>
      </c>
      <c r="Y750">
        <f>HYPERLINK("https://klasma.github.io/Logging_1499/tillsynsmail/A 10455-2024 tillsynsbegäran mail.docx", "A 10455-2024")</f>
        <v/>
      </c>
    </row>
    <row r="751" ht="15" customHeight="1">
      <c r="A751" t="inlineStr">
        <is>
          <t>A 8144-2023</t>
        </is>
      </c>
      <c r="B751" s="1" t="n">
        <v>44974</v>
      </c>
      <c r="C751" s="1" t="n">
        <v>46011</v>
      </c>
      <c r="D751" t="inlineStr">
        <is>
          <t>VÄSTRA GÖTALANDS LÄN</t>
        </is>
      </c>
      <c r="E751" t="inlineStr">
        <is>
          <t>MARIESTAD</t>
        </is>
      </c>
      <c r="G751" t="n">
        <v>4</v>
      </c>
      <c r="H751" t="n">
        <v>1</v>
      </c>
      <c r="I751" t="n">
        <v>0</v>
      </c>
      <c r="J751" t="n">
        <v>0</v>
      </c>
      <c r="K751" t="n">
        <v>0</v>
      </c>
      <c r="L751" t="n">
        <v>1</v>
      </c>
      <c r="M751" t="n">
        <v>0</v>
      </c>
      <c r="N751" t="n">
        <v>0</v>
      </c>
      <c r="O751" t="n">
        <v>1</v>
      </c>
      <c r="P751" t="n">
        <v>1</v>
      </c>
      <c r="Q751" t="n">
        <v>1</v>
      </c>
      <c r="R751" s="2" t="inlineStr">
        <is>
          <t>Tornseglare</t>
        </is>
      </c>
      <c r="S751">
        <f>HYPERLINK("https://klasma.github.io/Logging_1493/artfynd/A 8144-2023 artfynd.xlsx", "A 8144-2023")</f>
        <v/>
      </c>
      <c r="T751">
        <f>HYPERLINK("https://klasma.github.io/Logging_1493/kartor/A 8144-2023 karta.png", "A 8144-2023")</f>
        <v/>
      </c>
      <c r="V751">
        <f>HYPERLINK("https://klasma.github.io/Logging_1493/klagomål/A 8144-2023 FSC-klagomål.docx", "A 8144-2023")</f>
        <v/>
      </c>
      <c r="W751">
        <f>HYPERLINK("https://klasma.github.io/Logging_1493/klagomålsmail/A 8144-2023 FSC-klagomål mail.docx", "A 8144-2023")</f>
        <v/>
      </c>
      <c r="X751">
        <f>HYPERLINK("https://klasma.github.io/Logging_1493/tillsyn/A 8144-2023 tillsynsbegäran.docx", "A 8144-2023")</f>
        <v/>
      </c>
      <c r="Y751">
        <f>HYPERLINK("https://klasma.github.io/Logging_1493/tillsynsmail/A 8144-2023 tillsynsbegäran mail.docx", "A 8144-2023")</f>
        <v/>
      </c>
      <c r="Z751">
        <f>HYPERLINK("https://klasma.github.io/Logging_1493/fåglar/A 8144-2023 prioriterade fågelarter.docx", "A 8144-2023")</f>
        <v/>
      </c>
    </row>
    <row r="752" ht="15" customHeight="1">
      <c r="A752" t="inlineStr">
        <is>
          <t>A 8209-2021</t>
        </is>
      </c>
      <c r="B752" s="1" t="n">
        <v>44244</v>
      </c>
      <c r="C752" s="1" t="n">
        <v>46011</v>
      </c>
      <c r="D752" t="inlineStr">
        <is>
          <t>VÄSTRA GÖTALANDS LÄN</t>
        </is>
      </c>
      <c r="E752" t="inlineStr">
        <is>
          <t>ALINGSÅS</t>
        </is>
      </c>
      <c r="G752" t="n">
        <v>3.1</v>
      </c>
      <c r="H752" t="n">
        <v>1</v>
      </c>
      <c r="I752" t="n">
        <v>0</v>
      </c>
      <c r="J752" t="n">
        <v>1</v>
      </c>
      <c r="K752" t="n">
        <v>0</v>
      </c>
      <c r="L752" t="n">
        <v>0</v>
      </c>
      <c r="M752" t="n">
        <v>0</v>
      </c>
      <c r="N752" t="n">
        <v>0</v>
      </c>
      <c r="O752" t="n">
        <v>1</v>
      </c>
      <c r="P752" t="n">
        <v>0</v>
      </c>
      <c r="Q752" t="n">
        <v>1</v>
      </c>
      <c r="R752" s="2" t="inlineStr">
        <is>
          <t>Björktrast</t>
        </is>
      </c>
      <c r="S752">
        <f>HYPERLINK("https://klasma.github.io/Logging_1489/artfynd/A 8209-2021 artfynd.xlsx", "A 8209-2021")</f>
        <v/>
      </c>
      <c r="T752">
        <f>HYPERLINK("https://klasma.github.io/Logging_1489/kartor/A 8209-2021 karta.png", "A 8209-2021")</f>
        <v/>
      </c>
      <c r="V752">
        <f>HYPERLINK("https://klasma.github.io/Logging_1489/klagomål/A 8209-2021 FSC-klagomål.docx", "A 8209-2021")</f>
        <v/>
      </c>
      <c r="W752">
        <f>HYPERLINK("https://klasma.github.io/Logging_1489/klagomålsmail/A 8209-2021 FSC-klagomål mail.docx", "A 8209-2021")</f>
        <v/>
      </c>
      <c r="X752">
        <f>HYPERLINK("https://klasma.github.io/Logging_1489/tillsyn/A 8209-2021 tillsynsbegäran.docx", "A 8209-2021")</f>
        <v/>
      </c>
      <c r="Y752">
        <f>HYPERLINK("https://klasma.github.io/Logging_1489/tillsynsmail/A 8209-2021 tillsynsbegäran mail.docx", "A 8209-2021")</f>
        <v/>
      </c>
      <c r="Z752">
        <f>HYPERLINK("https://klasma.github.io/Logging_1489/fåglar/A 8209-2021 prioriterade fågelarter.docx", "A 8209-2021")</f>
        <v/>
      </c>
    </row>
    <row r="753" ht="15" customHeight="1">
      <c r="A753" t="inlineStr">
        <is>
          <t>A 19083-2025</t>
        </is>
      </c>
      <c r="B753" s="1" t="n">
        <v>45766.75263888889</v>
      </c>
      <c r="C753" s="1" t="n">
        <v>46011</v>
      </c>
      <c r="D753" t="inlineStr">
        <is>
          <t>VÄSTRA GÖTALANDS LÄN</t>
        </is>
      </c>
      <c r="E753" t="inlineStr">
        <is>
          <t>FÄRGELANDA</t>
        </is>
      </c>
      <c r="G753" t="n">
        <v>6.2</v>
      </c>
      <c r="H753" t="n">
        <v>0</v>
      </c>
      <c r="I753" t="n">
        <v>0</v>
      </c>
      <c r="J753" t="n">
        <v>1</v>
      </c>
      <c r="K753" t="n">
        <v>0</v>
      </c>
      <c r="L753" t="n">
        <v>0</v>
      </c>
      <c r="M753" t="n">
        <v>0</v>
      </c>
      <c r="N753" t="n">
        <v>0</v>
      </c>
      <c r="O753" t="n">
        <v>1</v>
      </c>
      <c r="P753" t="n">
        <v>0</v>
      </c>
      <c r="Q753" t="n">
        <v>1</v>
      </c>
      <c r="R753" s="2" t="inlineStr">
        <is>
          <t>Igelkott</t>
        </is>
      </c>
      <c r="S753">
        <f>HYPERLINK("https://klasma.github.io/Logging_1439/artfynd/A 19083-2025 artfynd.xlsx", "A 19083-2025")</f>
        <v/>
      </c>
      <c r="T753">
        <f>HYPERLINK("https://klasma.github.io/Logging_1439/kartor/A 19083-2025 karta.png", "A 19083-2025")</f>
        <v/>
      </c>
      <c r="V753">
        <f>HYPERLINK("https://klasma.github.io/Logging_1439/klagomål/A 19083-2025 FSC-klagomål.docx", "A 19083-2025")</f>
        <v/>
      </c>
      <c r="W753">
        <f>HYPERLINK("https://klasma.github.io/Logging_1439/klagomålsmail/A 19083-2025 FSC-klagomål mail.docx", "A 19083-2025")</f>
        <v/>
      </c>
      <c r="X753">
        <f>HYPERLINK("https://klasma.github.io/Logging_1439/tillsyn/A 19083-2025 tillsynsbegäran.docx", "A 19083-2025")</f>
        <v/>
      </c>
      <c r="Y753">
        <f>HYPERLINK("https://klasma.github.io/Logging_1439/tillsynsmail/A 19083-2025 tillsynsbegäran mail.docx", "A 19083-2025")</f>
        <v/>
      </c>
    </row>
    <row r="754" ht="15" customHeight="1">
      <c r="A754" t="inlineStr">
        <is>
          <t>A 42904-2023</t>
        </is>
      </c>
      <c r="B754" s="1" t="n">
        <v>45182</v>
      </c>
      <c r="C754" s="1" t="n">
        <v>46011</v>
      </c>
      <c r="D754" t="inlineStr">
        <is>
          <t>VÄSTRA GÖTALANDS LÄN</t>
        </is>
      </c>
      <c r="E754" t="inlineStr">
        <is>
          <t>SKÖVDE</t>
        </is>
      </c>
      <c r="F754" t="inlineStr">
        <is>
          <t>Kommuner</t>
        </is>
      </c>
      <c r="G754" t="n">
        <v>1.1</v>
      </c>
      <c r="H754" t="n">
        <v>1</v>
      </c>
      <c r="I754" t="n">
        <v>0</v>
      </c>
      <c r="J754" t="n">
        <v>0</v>
      </c>
      <c r="K754" t="n">
        <v>0</v>
      </c>
      <c r="L754" t="n">
        <v>0</v>
      </c>
      <c r="M754" t="n">
        <v>0</v>
      </c>
      <c r="N754" t="n">
        <v>0</v>
      </c>
      <c r="O754" t="n">
        <v>0</v>
      </c>
      <c r="P754" t="n">
        <v>0</v>
      </c>
      <c r="Q754" t="n">
        <v>1</v>
      </c>
      <c r="R754" s="2" t="inlineStr">
        <is>
          <t>Grönvit nattviol</t>
        </is>
      </c>
      <c r="S754">
        <f>HYPERLINK("https://klasma.github.io/Logging_1496/artfynd/A 42904-2023 artfynd.xlsx", "A 42904-2023")</f>
        <v/>
      </c>
      <c r="T754">
        <f>HYPERLINK("https://klasma.github.io/Logging_1496/kartor/A 42904-2023 karta.png", "A 42904-2023")</f>
        <v/>
      </c>
      <c r="V754">
        <f>HYPERLINK("https://klasma.github.io/Logging_1496/klagomål/A 42904-2023 FSC-klagomål.docx", "A 42904-2023")</f>
        <v/>
      </c>
      <c r="W754">
        <f>HYPERLINK("https://klasma.github.io/Logging_1496/klagomålsmail/A 42904-2023 FSC-klagomål mail.docx", "A 42904-2023")</f>
        <v/>
      </c>
      <c r="X754">
        <f>HYPERLINK("https://klasma.github.io/Logging_1496/tillsyn/A 42904-2023 tillsynsbegäran.docx", "A 42904-2023")</f>
        <v/>
      </c>
      <c r="Y754">
        <f>HYPERLINK("https://klasma.github.io/Logging_1496/tillsynsmail/A 42904-2023 tillsynsbegäran mail.docx", "A 42904-2023")</f>
        <v/>
      </c>
    </row>
    <row r="755" ht="15" customHeight="1">
      <c r="A755" t="inlineStr">
        <is>
          <t>A 236-2023</t>
        </is>
      </c>
      <c r="B755" s="1" t="n">
        <v>44928</v>
      </c>
      <c r="C755" s="1" t="n">
        <v>46011</v>
      </c>
      <c r="D755" t="inlineStr">
        <is>
          <t>VÄSTRA GÖTALANDS LÄN</t>
        </is>
      </c>
      <c r="E755" t="inlineStr">
        <is>
          <t>UDDEVALLA</t>
        </is>
      </c>
      <c r="G755" t="n">
        <v>16.7</v>
      </c>
      <c r="H755" t="n">
        <v>0</v>
      </c>
      <c r="I755" t="n">
        <v>1</v>
      </c>
      <c r="J755" t="n">
        <v>0</v>
      </c>
      <c r="K755" t="n">
        <v>0</v>
      </c>
      <c r="L755" t="n">
        <v>0</v>
      </c>
      <c r="M755" t="n">
        <v>0</v>
      </c>
      <c r="N755" t="n">
        <v>0</v>
      </c>
      <c r="O755" t="n">
        <v>0</v>
      </c>
      <c r="P755" t="n">
        <v>0</v>
      </c>
      <c r="Q755" t="n">
        <v>1</v>
      </c>
      <c r="R755" s="2" t="inlineStr">
        <is>
          <t>Rödgul trumpetsvamp</t>
        </is>
      </c>
      <c r="S755">
        <f>HYPERLINK("https://klasma.github.io/Logging_1485/artfynd/A 236-2023 artfynd.xlsx", "A 236-2023")</f>
        <v/>
      </c>
      <c r="T755">
        <f>HYPERLINK("https://klasma.github.io/Logging_1485/kartor/A 236-2023 karta.png", "A 236-2023")</f>
        <v/>
      </c>
      <c r="V755">
        <f>HYPERLINK("https://klasma.github.io/Logging_1485/klagomål/A 236-2023 FSC-klagomål.docx", "A 236-2023")</f>
        <v/>
      </c>
      <c r="W755">
        <f>HYPERLINK("https://klasma.github.io/Logging_1485/klagomålsmail/A 236-2023 FSC-klagomål mail.docx", "A 236-2023")</f>
        <v/>
      </c>
      <c r="X755">
        <f>HYPERLINK("https://klasma.github.io/Logging_1485/tillsyn/A 236-2023 tillsynsbegäran.docx", "A 236-2023")</f>
        <v/>
      </c>
      <c r="Y755">
        <f>HYPERLINK("https://klasma.github.io/Logging_1485/tillsynsmail/A 236-2023 tillsynsbegäran mail.docx", "A 236-2023")</f>
        <v/>
      </c>
    </row>
    <row r="756" ht="15" customHeight="1">
      <c r="A756" t="inlineStr">
        <is>
          <t>A 16997-2024</t>
        </is>
      </c>
      <c r="B756" s="1" t="n">
        <v>45412.35115740741</v>
      </c>
      <c r="C756" s="1" t="n">
        <v>46011</v>
      </c>
      <c r="D756" t="inlineStr">
        <is>
          <t>VÄSTRA GÖTALANDS LÄN</t>
        </is>
      </c>
      <c r="E756" t="inlineStr">
        <is>
          <t>MARK</t>
        </is>
      </c>
      <c r="G756" t="n">
        <v>1.4</v>
      </c>
      <c r="H756" t="n">
        <v>1</v>
      </c>
      <c r="I756" t="n">
        <v>0</v>
      </c>
      <c r="J756" t="n">
        <v>0</v>
      </c>
      <c r="K756" t="n">
        <v>1</v>
      </c>
      <c r="L756" t="n">
        <v>0</v>
      </c>
      <c r="M756" t="n">
        <v>0</v>
      </c>
      <c r="N756" t="n">
        <v>0</v>
      </c>
      <c r="O756" t="n">
        <v>1</v>
      </c>
      <c r="P756" t="n">
        <v>1</v>
      </c>
      <c r="Q756" t="n">
        <v>1</v>
      </c>
      <c r="R756" s="2" t="inlineStr">
        <is>
          <t>Knärot</t>
        </is>
      </c>
      <c r="S756">
        <f>HYPERLINK("https://klasma.github.io/Logging_1463/artfynd/A 16997-2024 artfynd.xlsx", "A 16997-2024")</f>
        <v/>
      </c>
      <c r="T756">
        <f>HYPERLINK("https://klasma.github.io/Logging_1463/kartor/A 16997-2024 karta.png", "A 16997-2024")</f>
        <v/>
      </c>
      <c r="U756">
        <f>HYPERLINK("https://klasma.github.io/Logging_1463/knärot/A 16997-2024 karta knärot.png", "A 16997-2024")</f>
        <v/>
      </c>
      <c r="V756">
        <f>HYPERLINK("https://klasma.github.io/Logging_1463/klagomål/A 16997-2024 FSC-klagomål.docx", "A 16997-2024")</f>
        <v/>
      </c>
      <c r="W756">
        <f>HYPERLINK("https://klasma.github.io/Logging_1463/klagomålsmail/A 16997-2024 FSC-klagomål mail.docx", "A 16997-2024")</f>
        <v/>
      </c>
      <c r="X756">
        <f>HYPERLINK("https://klasma.github.io/Logging_1463/tillsyn/A 16997-2024 tillsynsbegäran.docx", "A 16997-2024")</f>
        <v/>
      </c>
      <c r="Y756">
        <f>HYPERLINK("https://klasma.github.io/Logging_1463/tillsynsmail/A 16997-2024 tillsynsbegäran mail.docx", "A 16997-2024")</f>
        <v/>
      </c>
    </row>
    <row r="757" ht="15" customHeight="1">
      <c r="A757" t="inlineStr">
        <is>
          <t>A 12075-2022</t>
        </is>
      </c>
      <c r="B757" s="1" t="n">
        <v>44636.47275462963</v>
      </c>
      <c r="C757" s="1" t="n">
        <v>46011</v>
      </c>
      <c r="D757" t="inlineStr">
        <is>
          <t>VÄSTRA GÖTALANDS LÄN</t>
        </is>
      </c>
      <c r="E757" t="inlineStr">
        <is>
          <t>STENUNGSUND</t>
        </is>
      </c>
      <c r="G757" t="n">
        <v>7.5</v>
      </c>
      <c r="H757" t="n">
        <v>1</v>
      </c>
      <c r="I757" t="n">
        <v>0</v>
      </c>
      <c r="J757" t="n">
        <v>0</v>
      </c>
      <c r="K757" t="n">
        <v>0</v>
      </c>
      <c r="L757" t="n">
        <v>1</v>
      </c>
      <c r="M757" t="n">
        <v>0</v>
      </c>
      <c r="N757" t="n">
        <v>0</v>
      </c>
      <c r="O757" t="n">
        <v>1</v>
      </c>
      <c r="P757" t="n">
        <v>1</v>
      </c>
      <c r="Q757" t="n">
        <v>1</v>
      </c>
      <c r="R757" s="2" t="inlineStr">
        <is>
          <t>Bredgentiana</t>
        </is>
      </c>
      <c r="S757">
        <f>HYPERLINK("https://klasma.github.io/Logging_1415/artfynd/A 12075-2022 artfynd.xlsx", "A 12075-2022")</f>
        <v/>
      </c>
      <c r="T757">
        <f>HYPERLINK("https://klasma.github.io/Logging_1415/kartor/A 12075-2022 karta.png", "A 12075-2022")</f>
        <v/>
      </c>
      <c r="V757">
        <f>HYPERLINK("https://klasma.github.io/Logging_1415/klagomål/A 12075-2022 FSC-klagomål.docx", "A 12075-2022")</f>
        <v/>
      </c>
      <c r="W757">
        <f>HYPERLINK("https://klasma.github.io/Logging_1415/klagomålsmail/A 12075-2022 FSC-klagomål mail.docx", "A 12075-2022")</f>
        <v/>
      </c>
      <c r="X757">
        <f>HYPERLINK("https://klasma.github.io/Logging_1415/tillsyn/A 12075-2022 tillsynsbegäran.docx", "A 12075-2022")</f>
        <v/>
      </c>
      <c r="Y757">
        <f>HYPERLINK("https://klasma.github.io/Logging_1415/tillsynsmail/A 12075-2022 tillsynsbegäran mail.docx", "A 12075-2022")</f>
        <v/>
      </c>
    </row>
    <row r="758" ht="15" customHeight="1">
      <c r="A758" t="inlineStr">
        <is>
          <t>A 15042-2024</t>
        </is>
      </c>
      <c r="B758" s="1" t="n">
        <v>45399.49349537037</v>
      </c>
      <c r="C758" s="1" t="n">
        <v>46011</v>
      </c>
      <c r="D758" t="inlineStr">
        <is>
          <t>VÄSTRA GÖTALANDS LÄN</t>
        </is>
      </c>
      <c r="E758" t="inlineStr">
        <is>
          <t>HERRLJUNGA</t>
        </is>
      </c>
      <c r="F758" t="inlineStr">
        <is>
          <t>Sveaskog</t>
        </is>
      </c>
      <c r="G758" t="n">
        <v>14.2</v>
      </c>
      <c r="H758" t="n">
        <v>1</v>
      </c>
      <c r="I758" t="n">
        <v>0</v>
      </c>
      <c r="J758" t="n">
        <v>1</v>
      </c>
      <c r="K758" t="n">
        <v>0</v>
      </c>
      <c r="L758" t="n">
        <v>0</v>
      </c>
      <c r="M758" t="n">
        <v>0</v>
      </c>
      <c r="N758" t="n">
        <v>0</v>
      </c>
      <c r="O758" t="n">
        <v>1</v>
      </c>
      <c r="P758" t="n">
        <v>0</v>
      </c>
      <c r="Q758" t="n">
        <v>1</v>
      </c>
      <c r="R758" s="2" t="inlineStr">
        <is>
          <t>Björktrast</t>
        </is>
      </c>
      <c r="S758">
        <f>HYPERLINK("https://klasma.github.io/Logging_1466/artfynd/A 15042-2024 artfynd.xlsx", "A 15042-2024")</f>
        <v/>
      </c>
      <c r="T758">
        <f>HYPERLINK("https://klasma.github.io/Logging_1466/kartor/A 15042-2024 karta.png", "A 15042-2024")</f>
        <v/>
      </c>
      <c r="V758">
        <f>HYPERLINK("https://klasma.github.io/Logging_1466/klagomål/A 15042-2024 FSC-klagomål.docx", "A 15042-2024")</f>
        <v/>
      </c>
      <c r="W758">
        <f>HYPERLINK("https://klasma.github.io/Logging_1466/klagomålsmail/A 15042-2024 FSC-klagomål mail.docx", "A 15042-2024")</f>
        <v/>
      </c>
      <c r="X758">
        <f>HYPERLINK("https://klasma.github.io/Logging_1466/tillsyn/A 15042-2024 tillsynsbegäran.docx", "A 15042-2024")</f>
        <v/>
      </c>
      <c r="Y758">
        <f>HYPERLINK("https://klasma.github.io/Logging_1466/tillsynsmail/A 15042-2024 tillsynsbegäran mail.docx", "A 15042-2024")</f>
        <v/>
      </c>
      <c r="Z758">
        <f>HYPERLINK("https://klasma.github.io/Logging_1466/fåglar/A 15042-2024 prioriterade fågelarter.docx", "A 15042-2024")</f>
        <v/>
      </c>
    </row>
    <row r="759" ht="15" customHeight="1">
      <c r="A759" t="inlineStr">
        <is>
          <t>A 10764-2025</t>
        </is>
      </c>
      <c r="B759" s="1" t="n">
        <v>45722</v>
      </c>
      <c r="C759" s="1" t="n">
        <v>46011</v>
      </c>
      <c r="D759" t="inlineStr">
        <is>
          <t>VÄSTRA GÖTALANDS LÄN</t>
        </is>
      </c>
      <c r="E759" t="inlineStr">
        <is>
          <t>TANUM</t>
        </is>
      </c>
      <c r="G759" t="n">
        <v>12.6</v>
      </c>
      <c r="H759" t="n">
        <v>1</v>
      </c>
      <c r="I759" t="n">
        <v>1</v>
      </c>
      <c r="J759" t="n">
        <v>0</v>
      </c>
      <c r="K759" t="n">
        <v>0</v>
      </c>
      <c r="L759" t="n">
        <v>0</v>
      </c>
      <c r="M759" t="n">
        <v>0</v>
      </c>
      <c r="N759" t="n">
        <v>0</v>
      </c>
      <c r="O759" t="n">
        <v>0</v>
      </c>
      <c r="P759" t="n">
        <v>0</v>
      </c>
      <c r="Q759" t="n">
        <v>1</v>
      </c>
      <c r="R759" s="2" t="inlineStr">
        <is>
          <t>Spindelblomster</t>
        </is>
      </c>
      <c r="S759">
        <f>HYPERLINK("https://klasma.github.io/Logging_1435/artfynd/A 10764-2025 artfynd.xlsx", "A 10764-2025")</f>
        <v/>
      </c>
      <c r="T759">
        <f>HYPERLINK("https://klasma.github.io/Logging_1435/kartor/A 10764-2025 karta.png", "A 10764-2025")</f>
        <v/>
      </c>
      <c r="V759">
        <f>HYPERLINK("https://klasma.github.io/Logging_1435/klagomål/A 10764-2025 FSC-klagomål.docx", "A 10764-2025")</f>
        <v/>
      </c>
      <c r="W759">
        <f>HYPERLINK("https://klasma.github.io/Logging_1435/klagomålsmail/A 10764-2025 FSC-klagomål mail.docx", "A 10764-2025")</f>
        <v/>
      </c>
      <c r="X759">
        <f>HYPERLINK("https://klasma.github.io/Logging_1435/tillsyn/A 10764-2025 tillsynsbegäran.docx", "A 10764-2025")</f>
        <v/>
      </c>
      <c r="Y759">
        <f>HYPERLINK("https://klasma.github.io/Logging_1435/tillsynsmail/A 10764-2025 tillsynsbegäran mail.docx", "A 10764-2025")</f>
        <v/>
      </c>
    </row>
    <row r="760" ht="15" customHeight="1">
      <c r="A760" t="inlineStr">
        <is>
          <t>A 23401-2023</t>
        </is>
      </c>
      <c r="B760" s="1" t="n">
        <v>45076</v>
      </c>
      <c r="C760" s="1" t="n">
        <v>46011</v>
      </c>
      <c r="D760" t="inlineStr">
        <is>
          <t>VÄSTRA GÖTALANDS LÄN</t>
        </is>
      </c>
      <c r="E760" t="inlineStr">
        <is>
          <t>UDDEVALLA</t>
        </is>
      </c>
      <c r="G760" t="n">
        <v>3.3</v>
      </c>
      <c r="H760" t="n">
        <v>0</v>
      </c>
      <c r="I760" t="n">
        <v>1</v>
      </c>
      <c r="J760" t="n">
        <v>0</v>
      </c>
      <c r="K760" t="n">
        <v>0</v>
      </c>
      <c r="L760" t="n">
        <v>0</v>
      </c>
      <c r="M760" t="n">
        <v>0</v>
      </c>
      <c r="N760" t="n">
        <v>0</v>
      </c>
      <c r="O760" t="n">
        <v>0</v>
      </c>
      <c r="P760" t="n">
        <v>0</v>
      </c>
      <c r="Q760" t="n">
        <v>1</v>
      </c>
      <c r="R760" s="2" t="inlineStr">
        <is>
          <t>Vedticka</t>
        </is>
      </c>
      <c r="S760">
        <f>HYPERLINK("https://klasma.github.io/Logging_1485/artfynd/A 23401-2023 artfynd.xlsx", "A 23401-2023")</f>
        <v/>
      </c>
      <c r="T760">
        <f>HYPERLINK("https://klasma.github.io/Logging_1485/kartor/A 23401-2023 karta.png", "A 23401-2023")</f>
        <v/>
      </c>
      <c r="V760">
        <f>HYPERLINK("https://klasma.github.io/Logging_1485/klagomål/A 23401-2023 FSC-klagomål.docx", "A 23401-2023")</f>
        <v/>
      </c>
      <c r="W760">
        <f>HYPERLINK("https://klasma.github.io/Logging_1485/klagomålsmail/A 23401-2023 FSC-klagomål mail.docx", "A 23401-2023")</f>
        <v/>
      </c>
      <c r="X760">
        <f>HYPERLINK("https://klasma.github.io/Logging_1485/tillsyn/A 23401-2023 tillsynsbegäran.docx", "A 23401-2023")</f>
        <v/>
      </c>
      <c r="Y760">
        <f>HYPERLINK("https://klasma.github.io/Logging_1485/tillsynsmail/A 23401-2023 tillsynsbegäran mail.docx", "A 23401-2023")</f>
        <v/>
      </c>
    </row>
    <row r="761" ht="15" customHeight="1">
      <c r="A761" t="inlineStr">
        <is>
          <t>A 38771-2024</t>
        </is>
      </c>
      <c r="B761" s="1" t="n">
        <v>45547.45959490741</v>
      </c>
      <c r="C761" s="1" t="n">
        <v>46011</v>
      </c>
      <c r="D761" t="inlineStr">
        <is>
          <t>VÄSTRA GÖTALANDS LÄN</t>
        </is>
      </c>
      <c r="E761" t="inlineStr">
        <is>
          <t>FÄRGELANDA</t>
        </is>
      </c>
      <c r="G761" t="n">
        <v>4.9</v>
      </c>
      <c r="H761" t="n">
        <v>1</v>
      </c>
      <c r="I761" t="n">
        <v>0</v>
      </c>
      <c r="J761" t="n">
        <v>0</v>
      </c>
      <c r="K761" t="n">
        <v>0</v>
      </c>
      <c r="L761" t="n">
        <v>0</v>
      </c>
      <c r="M761" t="n">
        <v>0</v>
      </c>
      <c r="N761" t="n">
        <v>0</v>
      </c>
      <c r="O761" t="n">
        <v>0</v>
      </c>
      <c r="P761" t="n">
        <v>0</v>
      </c>
      <c r="Q761" t="n">
        <v>1</v>
      </c>
      <c r="R761" s="2" t="inlineStr">
        <is>
          <t>Revlummer</t>
        </is>
      </c>
      <c r="S761">
        <f>HYPERLINK("https://klasma.github.io/Logging_1439/artfynd/A 38771-2024 artfynd.xlsx", "A 38771-2024")</f>
        <v/>
      </c>
      <c r="T761">
        <f>HYPERLINK("https://klasma.github.io/Logging_1439/kartor/A 38771-2024 karta.png", "A 38771-2024")</f>
        <v/>
      </c>
      <c r="V761">
        <f>HYPERLINK("https://klasma.github.io/Logging_1439/klagomål/A 38771-2024 FSC-klagomål.docx", "A 38771-2024")</f>
        <v/>
      </c>
      <c r="W761">
        <f>HYPERLINK("https://klasma.github.io/Logging_1439/klagomålsmail/A 38771-2024 FSC-klagomål mail.docx", "A 38771-2024")</f>
        <v/>
      </c>
      <c r="X761">
        <f>HYPERLINK("https://klasma.github.io/Logging_1439/tillsyn/A 38771-2024 tillsynsbegäran.docx", "A 38771-2024")</f>
        <v/>
      </c>
      <c r="Y761">
        <f>HYPERLINK("https://klasma.github.io/Logging_1439/tillsynsmail/A 38771-2024 tillsynsbegäran mail.docx", "A 38771-2024")</f>
        <v/>
      </c>
    </row>
    <row r="762" ht="15" customHeight="1">
      <c r="A762" t="inlineStr">
        <is>
          <t>A 50515-2022</t>
        </is>
      </c>
      <c r="B762" s="1" t="n">
        <v>44866</v>
      </c>
      <c r="C762" s="1" t="n">
        <v>46011</v>
      </c>
      <c r="D762" t="inlineStr">
        <is>
          <t>VÄSTRA GÖTALANDS LÄN</t>
        </is>
      </c>
      <c r="E762" t="inlineStr">
        <is>
          <t>TRANEMO</t>
        </is>
      </c>
      <c r="F762" t="inlineStr">
        <is>
          <t>Sveaskog</t>
        </is>
      </c>
      <c r="G762" t="n">
        <v>0.6</v>
      </c>
      <c r="H762" t="n">
        <v>0</v>
      </c>
      <c r="I762" t="n">
        <v>0</v>
      </c>
      <c r="J762" t="n">
        <v>1</v>
      </c>
      <c r="K762" t="n">
        <v>0</v>
      </c>
      <c r="L762" t="n">
        <v>0</v>
      </c>
      <c r="M762" t="n">
        <v>0</v>
      </c>
      <c r="N762" t="n">
        <v>0</v>
      </c>
      <c r="O762" t="n">
        <v>1</v>
      </c>
      <c r="P762" t="n">
        <v>0</v>
      </c>
      <c r="Q762" t="n">
        <v>1</v>
      </c>
      <c r="R762" s="2" t="inlineStr">
        <is>
          <t>Borsttåg</t>
        </is>
      </c>
      <c r="S762">
        <f>HYPERLINK("https://klasma.github.io/Logging_1452/artfynd/A 50515-2022 artfynd.xlsx", "A 50515-2022")</f>
        <v/>
      </c>
      <c r="T762">
        <f>HYPERLINK("https://klasma.github.io/Logging_1452/kartor/A 50515-2022 karta.png", "A 50515-2022")</f>
        <v/>
      </c>
      <c r="V762">
        <f>HYPERLINK("https://klasma.github.io/Logging_1452/klagomål/A 50515-2022 FSC-klagomål.docx", "A 50515-2022")</f>
        <v/>
      </c>
      <c r="W762">
        <f>HYPERLINK("https://klasma.github.io/Logging_1452/klagomålsmail/A 50515-2022 FSC-klagomål mail.docx", "A 50515-2022")</f>
        <v/>
      </c>
      <c r="X762">
        <f>HYPERLINK("https://klasma.github.io/Logging_1452/tillsyn/A 50515-2022 tillsynsbegäran.docx", "A 50515-2022")</f>
        <v/>
      </c>
      <c r="Y762">
        <f>HYPERLINK("https://klasma.github.io/Logging_1452/tillsynsmail/A 50515-2022 tillsynsbegäran mail.docx", "A 50515-2022")</f>
        <v/>
      </c>
    </row>
    <row r="763" ht="15" customHeight="1">
      <c r="A763" t="inlineStr">
        <is>
          <t>A 6040-2025</t>
        </is>
      </c>
      <c r="B763" s="1" t="n">
        <v>45695.66266203704</v>
      </c>
      <c r="C763" s="1" t="n">
        <v>46011</v>
      </c>
      <c r="D763" t="inlineStr">
        <is>
          <t>VÄSTRA GÖTALANDS LÄN</t>
        </is>
      </c>
      <c r="E763" t="inlineStr">
        <is>
          <t>VARA</t>
        </is>
      </c>
      <c r="G763" t="n">
        <v>2.4</v>
      </c>
      <c r="H763" t="n">
        <v>1</v>
      </c>
      <c r="I763" t="n">
        <v>0</v>
      </c>
      <c r="J763" t="n">
        <v>0</v>
      </c>
      <c r="K763" t="n">
        <v>0</v>
      </c>
      <c r="L763" t="n">
        <v>0</v>
      </c>
      <c r="M763" t="n">
        <v>0</v>
      </c>
      <c r="N763" t="n">
        <v>0</v>
      </c>
      <c r="O763" t="n">
        <v>0</v>
      </c>
      <c r="P763" t="n">
        <v>0</v>
      </c>
      <c r="Q763" t="n">
        <v>1</v>
      </c>
      <c r="R763" s="2" t="inlineStr">
        <is>
          <t>Revlummer</t>
        </is>
      </c>
      <c r="S763">
        <f>HYPERLINK("https://klasma.github.io/Logging_1470/artfynd/A 6040-2025 artfynd.xlsx", "A 6040-2025")</f>
        <v/>
      </c>
      <c r="T763">
        <f>HYPERLINK("https://klasma.github.io/Logging_1470/kartor/A 6040-2025 karta.png", "A 6040-2025")</f>
        <v/>
      </c>
      <c r="V763">
        <f>HYPERLINK("https://klasma.github.io/Logging_1470/klagomål/A 6040-2025 FSC-klagomål.docx", "A 6040-2025")</f>
        <v/>
      </c>
      <c r="W763">
        <f>HYPERLINK("https://klasma.github.io/Logging_1470/klagomålsmail/A 6040-2025 FSC-klagomål mail.docx", "A 6040-2025")</f>
        <v/>
      </c>
      <c r="X763">
        <f>HYPERLINK("https://klasma.github.io/Logging_1470/tillsyn/A 6040-2025 tillsynsbegäran.docx", "A 6040-2025")</f>
        <v/>
      </c>
      <c r="Y763">
        <f>HYPERLINK("https://klasma.github.io/Logging_1470/tillsynsmail/A 6040-2025 tillsynsbegäran mail.docx", "A 6040-2025")</f>
        <v/>
      </c>
    </row>
    <row r="764" ht="15" customHeight="1">
      <c r="A764" t="inlineStr">
        <is>
          <t>A 9504-2024</t>
        </is>
      </c>
      <c r="B764" s="1" t="n">
        <v>45359.61542824074</v>
      </c>
      <c r="C764" s="1" t="n">
        <v>46011</v>
      </c>
      <c r="D764" t="inlineStr">
        <is>
          <t>VÄSTRA GÖTALANDS LÄN</t>
        </is>
      </c>
      <c r="E764" t="inlineStr">
        <is>
          <t>MARK</t>
        </is>
      </c>
      <c r="G764" t="n">
        <v>9.199999999999999</v>
      </c>
      <c r="H764" t="n">
        <v>0</v>
      </c>
      <c r="I764" t="n">
        <v>0</v>
      </c>
      <c r="J764" t="n">
        <v>1</v>
      </c>
      <c r="K764" t="n">
        <v>0</v>
      </c>
      <c r="L764" t="n">
        <v>0</v>
      </c>
      <c r="M764" t="n">
        <v>0</v>
      </c>
      <c r="N764" t="n">
        <v>0</v>
      </c>
      <c r="O764" t="n">
        <v>1</v>
      </c>
      <c r="P764" t="n">
        <v>0</v>
      </c>
      <c r="Q764" t="n">
        <v>1</v>
      </c>
      <c r="R764" s="2" t="inlineStr">
        <is>
          <t>Svävflugedagsvärmare</t>
        </is>
      </c>
      <c r="S764">
        <f>HYPERLINK("https://klasma.github.io/Logging_1463/artfynd/A 9504-2024 artfynd.xlsx", "A 9504-2024")</f>
        <v/>
      </c>
      <c r="T764">
        <f>HYPERLINK("https://klasma.github.io/Logging_1463/kartor/A 9504-2024 karta.png", "A 9504-2024")</f>
        <v/>
      </c>
      <c r="V764">
        <f>HYPERLINK("https://klasma.github.io/Logging_1463/klagomål/A 9504-2024 FSC-klagomål.docx", "A 9504-2024")</f>
        <v/>
      </c>
      <c r="W764">
        <f>HYPERLINK("https://klasma.github.io/Logging_1463/klagomålsmail/A 9504-2024 FSC-klagomål mail.docx", "A 9504-2024")</f>
        <v/>
      </c>
      <c r="X764">
        <f>HYPERLINK("https://klasma.github.io/Logging_1463/tillsyn/A 9504-2024 tillsynsbegäran.docx", "A 9504-2024")</f>
        <v/>
      </c>
      <c r="Y764">
        <f>HYPERLINK("https://klasma.github.io/Logging_1463/tillsynsmail/A 9504-2024 tillsynsbegäran mail.docx", "A 9504-2024")</f>
        <v/>
      </c>
    </row>
    <row r="765" ht="15" customHeight="1">
      <c r="A765" t="inlineStr">
        <is>
          <t>A 21101-2023</t>
        </is>
      </c>
      <c r="B765" s="1" t="n">
        <v>45061</v>
      </c>
      <c r="C765" s="1" t="n">
        <v>46011</v>
      </c>
      <c r="D765" t="inlineStr">
        <is>
          <t>VÄSTRA GÖTALANDS LÄN</t>
        </is>
      </c>
      <c r="E765" t="inlineStr">
        <is>
          <t>HÄRRYDA</t>
        </is>
      </c>
      <c r="G765" t="n">
        <v>0.5</v>
      </c>
      <c r="H765" t="n">
        <v>1</v>
      </c>
      <c r="I765" t="n">
        <v>0</v>
      </c>
      <c r="J765" t="n">
        <v>0</v>
      </c>
      <c r="K765" t="n">
        <v>0</v>
      </c>
      <c r="L765" t="n">
        <v>0</v>
      </c>
      <c r="M765" t="n">
        <v>0</v>
      </c>
      <c r="N765" t="n">
        <v>0</v>
      </c>
      <c r="O765" t="n">
        <v>0</v>
      </c>
      <c r="P765" t="n">
        <v>0</v>
      </c>
      <c r="Q765" t="n">
        <v>1</v>
      </c>
      <c r="R765" s="2" t="inlineStr">
        <is>
          <t>Åkergroda</t>
        </is>
      </c>
      <c r="S765">
        <f>HYPERLINK("https://klasma.github.io/Logging_1401/artfynd/A 21101-2023 artfynd.xlsx", "A 21101-2023")</f>
        <v/>
      </c>
      <c r="T765">
        <f>HYPERLINK("https://klasma.github.io/Logging_1401/kartor/A 21101-2023 karta.png", "A 21101-2023")</f>
        <v/>
      </c>
      <c r="V765">
        <f>HYPERLINK("https://klasma.github.io/Logging_1401/klagomål/A 21101-2023 FSC-klagomål.docx", "A 21101-2023")</f>
        <v/>
      </c>
      <c r="W765">
        <f>HYPERLINK("https://klasma.github.io/Logging_1401/klagomålsmail/A 21101-2023 FSC-klagomål mail.docx", "A 21101-2023")</f>
        <v/>
      </c>
      <c r="X765">
        <f>HYPERLINK("https://klasma.github.io/Logging_1401/tillsyn/A 21101-2023 tillsynsbegäran.docx", "A 21101-2023")</f>
        <v/>
      </c>
      <c r="Y765">
        <f>HYPERLINK("https://klasma.github.io/Logging_1401/tillsynsmail/A 21101-2023 tillsynsbegäran mail.docx", "A 21101-2023")</f>
        <v/>
      </c>
    </row>
    <row r="766" ht="15" customHeight="1">
      <c r="A766" t="inlineStr">
        <is>
          <t>A 65109-2023</t>
        </is>
      </c>
      <c r="B766" s="1" t="n">
        <v>45288</v>
      </c>
      <c r="C766" s="1" t="n">
        <v>46011</v>
      </c>
      <c r="D766" t="inlineStr">
        <is>
          <t>VÄSTRA GÖTALANDS LÄN</t>
        </is>
      </c>
      <c r="E766" t="inlineStr">
        <is>
          <t>UDDEVALLA</t>
        </is>
      </c>
      <c r="G766" t="n">
        <v>1.8</v>
      </c>
      <c r="H766" t="n">
        <v>0</v>
      </c>
      <c r="I766" t="n">
        <v>0</v>
      </c>
      <c r="J766" t="n">
        <v>1</v>
      </c>
      <c r="K766" t="n">
        <v>0</v>
      </c>
      <c r="L766" t="n">
        <v>0</v>
      </c>
      <c r="M766" t="n">
        <v>0</v>
      </c>
      <c r="N766" t="n">
        <v>0</v>
      </c>
      <c r="O766" t="n">
        <v>1</v>
      </c>
      <c r="P766" t="n">
        <v>0</v>
      </c>
      <c r="Q766" t="n">
        <v>1</v>
      </c>
      <c r="R766" s="2" t="inlineStr">
        <is>
          <t>Lunglav</t>
        </is>
      </c>
      <c r="S766">
        <f>HYPERLINK("https://klasma.github.io/Logging_1485/artfynd/A 65109-2023 artfynd.xlsx", "A 65109-2023")</f>
        <v/>
      </c>
      <c r="T766">
        <f>HYPERLINK("https://klasma.github.io/Logging_1485/kartor/A 65109-2023 karta.png", "A 65109-2023")</f>
        <v/>
      </c>
      <c r="V766">
        <f>HYPERLINK("https://klasma.github.io/Logging_1485/klagomål/A 65109-2023 FSC-klagomål.docx", "A 65109-2023")</f>
        <v/>
      </c>
      <c r="W766">
        <f>HYPERLINK("https://klasma.github.io/Logging_1485/klagomålsmail/A 65109-2023 FSC-klagomål mail.docx", "A 65109-2023")</f>
        <v/>
      </c>
      <c r="X766">
        <f>HYPERLINK("https://klasma.github.io/Logging_1485/tillsyn/A 65109-2023 tillsynsbegäran.docx", "A 65109-2023")</f>
        <v/>
      </c>
      <c r="Y766">
        <f>HYPERLINK("https://klasma.github.io/Logging_1485/tillsynsmail/A 65109-2023 tillsynsbegäran mail.docx", "A 65109-2023")</f>
        <v/>
      </c>
    </row>
    <row r="767" ht="15" customHeight="1">
      <c r="A767" t="inlineStr">
        <is>
          <t>A 18881-2025</t>
        </is>
      </c>
      <c r="B767" s="1" t="n">
        <v>45764.43978009259</v>
      </c>
      <c r="C767" s="1" t="n">
        <v>46011</v>
      </c>
      <c r="D767" t="inlineStr">
        <is>
          <t>VÄSTRA GÖTALANDS LÄN</t>
        </is>
      </c>
      <c r="E767" t="inlineStr">
        <is>
          <t>KARLSBORG</t>
        </is>
      </c>
      <c r="G767" t="n">
        <v>2</v>
      </c>
      <c r="H767" t="n">
        <v>1</v>
      </c>
      <c r="I767" t="n">
        <v>0</v>
      </c>
      <c r="J767" t="n">
        <v>0</v>
      </c>
      <c r="K767" t="n">
        <v>1</v>
      </c>
      <c r="L767" t="n">
        <v>0</v>
      </c>
      <c r="M767" t="n">
        <v>0</v>
      </c>
      <c r="N767" t="n">
        <v>0</v>
      </c>
      <c r="O767" t="n">
        <v>1</v>
      </c>
      <c r="P767" t="n">
        <v>1</v>
      </c>
      <c r="Q767" t="n">
        <v>1</v>
      </c>
      <c r="R767" s="2" t="inlineStr">
        <is>
          <t>Hasselsnok</t>
        </is>
      </c>
      <c r="S767">
        <f>HYPERLINK("https://klasma.github.io/Logging_1446/artfynd/A 18881-2025 artfynd.xlsx", "A 18881-2025")</f>
        <v/>
      </c>
      <c r="T767">
        <f>HYPERLINK("https://klasma.github.io/Logging_1446/kartor/A 18881-2025 karta.png", "A 18881-2025")</f>
        <v/>
      </c>
      <c r="V767">
        <f>HYPERLINK("https://klasma.github.io/Logging_1446/klagomål/A 18881-2025 FSC-klagomål.docx", "A 18881-2025")</f>
        <v/>
      </c>
      <c r="W767">
        <f>HYPERLINK("https://klasma.github.io/Logging_1446/klagomålsmail/A 18881-2025 FSC-klagomål mail.docx", "A 18881-2025")</f>
        <v/>
      </c>
      <c r="X767">
        <f>HYPERLINK("https://klasma.github.io/Logging_1446/tillsyn/A 18881-2025 tillsynsbegäran.docx", "A 18881-2025")</f>
        <v/>
      </c>
      <c r="Y767">
        <f>HYPERLINK("https://klasma.github.io/Logging_1446/tillsynsmail/A 18881-2025 tillsynsbegäran mail.docx", "A 18881-2025")</f>
        <v/>
      </c>
    </row>
    <row r="768" ht="15" customHeight="1">
      <c r="A768" t="inlineStr">
        <is>
          <t>A 29215-2022</t>
        </is>
      </c>
      <c r="B768" s="1" t="n">
        <v>44750</v>
      </c>
      <c r="C768" s="1" t="n">
        <v>46011</v>
      </c>
      <c r="D768" t="inlineStr">
        <is>
          <t>VÄSTRA GÖTALANDS LÄN</t>
        </is>
      </c>
      <c r="E768" t="inlineStr">
        <is>
          <t>BENGTSFORS</t>
        </is>
      </c>
      <c r="G768" t="n">
        <v>9.9</v>
      </c>
      <c r="H768" t="n">
        <v>0</v>
      </c>
      <c r="I768" t="n">
        <v>1</v>
      </c>
      <c r="J768" t="n">
        <v>0</v>
      </c>
      <c r="K768" t="n">
        <v>0</v>
      </c>
      <c r="L768" t="n">
        <v>0</v>
      </c>
      <c r="M768" t="n">
        <v>0</v>
      </c>
      <c r="N768" t="n">
        <v>0</v>
      </c>
      <c r="O768" t="n">
        <v>0</v>
      </c>
      <c r="P768" t="n">
        <v>0</v>
      </c>
      <c r="Q768" t="n">
        <v>1</v>
      </c>
      <c r="R768" s="2" t="inlineStr">
        <is>
          <t>Västlig hakmossa</t>
        </is>
      </c>
      <c r="S768">
        <f>HYPERLINK("https://klasma.github.io/Logging_1460/artfynd/A 29215-2022 artfynd.xlsx", "A 29215-2022")</f>
        <v/>
      </c>
      <c r="T768">
        <f>HYPERLINK("https://klasma.github.io/Logging_1460/kartor/A 29215-2022 karta.png", "A 29215-2022")</f>
        <v/>
      </c>
      <c r="V768">
        <f>HYPERLINK("https://klasma.github.io/Logging_1460/klagomål/A 29215-2022 FSC-klagomål.docx", "A 29215-2022")</f>
        <v/>
      </c>
      <c r="W768">
        <f>HYPERLINK("https://klasma.github.io/Logging_1460/klagomålsmail/A 29215-2022 FSC-klagomål mail.docx", "A 29215-2022")</f>
        <v/>
      </c>
      <c r="X768">
        <f>HYPERLINK("https://klasma.github.io/Logging_1460/tillsyn/A 29215-2022 tillsynsbegäran.docx", "A 29215-2022")</f>
        <v/>
      </c>
      <c r="Y768">
        <f>HYPERLINK("https://klasma.github.io/Logging_1460/tillsynsmail/A 29215-2022 tillsynsbegäran mail.docx", "A 29215-2022")</f>
        <v/>
      </c>
    </row>
    <row r="769" ht="15" customHeight="1">
      <c r="A769" t="inlineStr">
        <is>
          <t>A 4358-2025</t>
        </is>
      </c>
      <c r="B769" s="1" t="n">
        <v>45686.32912037037</v>
      </c>
      <c r="C769" s="1" t="n">
        <v>46011</v>
      </c>
      <c r="D769" t="inlineStr">
        <is>
          <t>VÄSTRA GÖTALANDS LÄN</t>
        </is>
      </c>
      <c r="E769" t="inlineStr">
        <is>
          <t>BORÅS</t>
        </is>
      </c>
      <c r="F769" t="inlineStr">
        <is>
          <t>Sveaskog</t>
        </is>
      </c>
      <c r="G769" t="n">
        <v>4.7</v>
      </c>
      <c r="H769" t="n">
        <v>1</v>
      </c>
      <c r="I769" t="n">
        <v>0</v>
      </c>
      <c r="J769" t="n">
        <v>0</v>
      </c>
      <c r="K769" t="n">
        <v>0</v>
      </c>
      <c r="L769" t="n">
        <v>0</v>
      </c>
      <c r="M769" t="n">
        <v>0</v>
      </c>
      <c r="N769" t="n">
        <v>0</v>
      </c>
      <c r="O769" t="n">
        <v>0</v>
      </c>
      <c r="P769" t="n">
        <v>0</v>
      </c>
      <c r="Q769" t="n">
        <v>1</v>
      </c>
      <c r="R769" s="2" t="inlineStr">
        <is>
          <t>Orre</t>
        </is>
      </c>
      <c r="S769">
        <f>HYPERLINK("https://klasma.github.io/Logging_1490/artfynd/A 4358-2025 artfynd.xlsx", "A 4358-2025")</f>
        <v/>
      </c>
      <c r="T769">
        <f>HYPERLINK("https://klasma.github.io/Logging_1490/kartor/A 4358-2025 karta.png", "A 4358-2025")</f>
        <v/>
      </c>
      <c r="V769">
        <f>HYPERLINK("https://klasma.github.io/Logging_1490/klagomål/A 4358-2025 FSC-klagomål.docx", "A 4358-2025")</f>
        <v/>
      </c>
      <c r="W769">
        <f>HYPERLINK("https://klasma.github.io/Logging_1490/klagomålsmail/A 4358-2025 FSC-klagomål mail.docx", "A 4358-2025")</f>
        <v/>
      </c>
      <c r="X769">
        <f>HYPERLINK("https://klasma.github.io/Logging_1490/tillsyn/A 4358-2025 tillsynsbegäran.docx", "A 4358-2025")</f>
        <v/>
      </c>
      <c r="Y769">
        <f>HYPERLINK("https://klasma.github.io/Logging_1490/tillsynsmail/A 4358-2025 tillsynsbegäran mail.docx", "A 4358-2025")</f>
        <v/>
      </c>
      <c r="Z769">
        <f>HYPERLINK("https://klasma.github.io/Logging_1490/fåglar/A 4358-2025 prioriterade fågelarter.docx", "A 4358-2025")</f>
        <v/>
      </c>
    </row>
    <row r="770" ht="15" customHeight="1">
      <c r="A770" t="inlineStr">
        <is>
          <t>A 36783-2023</t>
        </is>
      </c>
      <c r="B770" s="1" t="n">
        <v>45154</v>
      </c>
      <c r="C770" s="1" t="n">
        <v>46011</v>
      </c>
      <c r="D770" t="inlineStr">
        <is>
          <t>VÄSTRA GÖTALANDS LÄN</t>
        </is>
      </c>
      <c r="E770" t="inlineStr">
        <is>
          <t>MARK</t>
        </is>
      </c>
      <c r="G770" t="n">
        <v>5.4</v>
      </c>
      <c r="H770" t="n">
        <v>0</v>
      </c>
      <c r="I770" t="n">
        <v>0</v>
      </c>
      <c r="J770" t="n">
        <v>0</v>
      </c>
      <c r="K770" t="n">
        <v>0</v>
      </c>
      <c r="L770" t="n">
        <v>0</v>
      </c>
      <c r="M770" t="n">
        <v>1</v>
      </c>
      <c r="N770" t="n">
        <v>0</v>
      </c>
      <c r="O770" t="n">
        <v>1</v>
      </c>
      <c r="P770" t="n">
        <v>1</v>
      </c>
      <c r="Q770" t="n">
        <v>1</v>
      </c>
      <c r="R770" s="2" t="inlineStr">
        <is>
          <t>Ål</t>
        </is>
      </c>
      <c r="S770">
        <f>HYPERLINK("https://klasma.github.io/Logging_1463/artfynd/A 36783-2023 artfynd.xlsx", "A 36783-2023")</f>
        <v/>
      </c>
      <c r="T770">
        <f>HYPERLINK("https://klasma.github.io/Logging_1463/kartor/A 36783-2023 karta.png", "A 36783-2023")</f>
        <v/>
      </c>
      <c r="V770">
        <f>HYPERLINK("https://klasma.github.io/Logging_1463/klagomål/A 36783-2023 FSC-klagomål.docx", "A 36783-2023")</f>
        <v/>
      </c>
      <c r="W770">
        <f>HYPERLINK("https://klasma.github.io/Logging_1463/klagomålsmail/A 36783-2023 FSC-klagomål mail.docx", "A 36783-2023")</f>
        <v/>
      </c>
      <c r="X770">
        <f>HYPERLINK("https://klasma.github.io/Logging_1463/tillsyn/A 36783-2023 tillsynsbegäran.docx", "A 36783-2023")</f>
        <v/>
      </c>
      <c r="Y770">
        <f>HYPERLINK("https://klasma.github.io/Logging_1463/tillsynsmail/A 36783-2023 tillsynsbegäran mail.docx", "A 36783-2023")</f>
        <v/>
      </c>
    </row>
    <row r="771" ht="15" customHeight="1">
      <c r="A771" t="inlineStr">
        <is>
          <t>A 49789-2023</t>
        </is>
      </c>
      <c r="B771" s="1" t="n">
        <v>45212</v>
      </c>
      <c r="C771" s="1" t="n">
        <v>46011</v>
      </c>
      <c r="D771" t="inlineStr">
        <is>
          <t>VÄSTRA GÖTALANDS LÄN</t>
        </is>
      </c>
      <c r="E771" t="inlineStr">
        <is>
          <t>MÖLNDAL</t>
        </is>
      </c>
      <c r="G771" t="n">
        <v>3.8</v>
      </c>
      <c r="H771" t="n">
        <v>0</v>
      </c>
      <c r="I771" t="n">
        <v>1</v>
      </c>
      <c r="J771" t="n">
        <v>0</v>
      </c>
      <c r="K771" t="n">
        <v>0</v>
      </c>
      <c r="L771" t="n">
        <v>0</v>
      </c>
      <c r="M771" t="n">
        <v>0</v>
      </c>
      <c r="N771" t="n">
        <v>0</v>
      </c>
      <c r="O771" t="n">
        <v>0</v>
      </c>
      <c r="P771" t="n">
        <v>0</v>
      </c>
      <c r="Q771" t="n">
        <v>1</v>
      </c>
      <c r="R771" s="2" t="inlineStr">
        <is>
          <t>Trubbfjädermossa</t>
        </is>
      </c>
      <c r="S771">
        <f>HYPERLINK("https://klasma.github.io/Logging_1481/artfynd/A 49789-2023 artfynd.xlsx", "A 49789-2023")</f>
        <v/>
      </c>
      <c r="T771">
        <f>HYPERLINK("https://klasma.github.io/Logging_1481/kartor/A 49789-2023 karta.png", "A 49789-2023")</f>
        <v/>
      </c>
      <c r="V771">
        <f>HYPERLINK("https://klasma.github.io/Logging_1481/klagomål/A 49789-2023 FSC-klagomål.docx", "A 49789-2023")</f>
        <v/>
      </c>
      <c r="W771">
        <f>HYPERLINK("https://klasma.github.io/Logging_1481/klagomålsmail/A 49789-2023 FSC-klagomål mail.docx", "A 49789-2023")</f>
        <v/>
      </c>
      <c r="X771">
        <f>HYPERLINK("https://klasma.github.io/Logging_1481/tillsyn/A 49789-2023 tillsynsbegäran.docx", "A 49789-2023")</f>
        <v/>
      </c>
      <c r="Y771">
        <f>HYPERLINK("https://klasma.github.io/Logging_1481/tillsynsmail/A 49789-2023 tillsynsbegäran mail.docx", "A 49789-2023")</f>
        <v/>
      </c>
    </row>
    <row r="772" ht="15" customHeight="1">
      <c r="A772" t="inlineStr">
        <is>
          <t>A 19923-2025</t>
        </is>
      </c>
      <c r="B772" s="1" t="n">
        <v>45771.63234953704</v>
      </c>
      <c r="C772" s="1" t="n">
        <v>46011</v>
      </c>
      <c r="D772" t="inlineStr">
        <is>
          <t>VÄSTRA GÖTALANDS LÄN</t>
        </is>
      </c>
      <c r="E772" t="inlineStr">
        <is>
          <t>HERRLJUNGA</t>
        </is>
      </c>
      <c r="G772" t="n">
        <v>1.1</v>
      </c>
      <c r="H772" t="n">
        <v>1</v>
      </c>
      <c r="I772" t="n">
        <v>0</v>
      </c>
      <c r="J772" t="n">
        <v>0</v>
      </c>
      <c r="K772" t="n">
        <v>0</v>
      </c>
      <c r="L772" t="n">
        <v>0</v>
      </c>
      <c r="M772" t="n">
        <v>0</v>
      </c>
      <c r="N772" t="n">
        <v>0</v>
      </c>
      <c r="O772" t="n">
        <v>0</v>
      </c>
      <c r="P772" t="n">
        <v>0</v>
      </c>
      <c r="Q772" t="n">
        <v>1</v>
      </c>
      <c r="R772" s="2" t="inlineStr">
        <is>
          <t>Huggorm</t>
        </is>
      </c>
      <c r="S772">
        <f>HYPERLINK("https://klasma.github.io/Logging_1466/artfynd/A 19923-2025 artfynd.xlsx", "A 19923-2025")</f>
        <v/>
      </c>
      <c r="T772">
        <f>HYPERLINK("https://klasma.github.io/Logging_1466/kartor/A 19923-2025 karta.png", "A 19923-2025")</f>
        <v/>
      </c>
      <c r="V772">
        <f>HYPERLINK("https://klasma.github.io/Logging_1466/klagomål/A 19923-2025 FSC-klagomål.docx", "A 19923-2025")</f>
        <v/>
      </c>
      <c r="W772">
        <f>HYPERLINK("https://klasma.github.io/Logging_1466/klagomålsmail/A 19923-2025 FSC-klagomål mail.docx", "A 19923-2025")</f>
        <v/>
      </c>
      <c r="X772">
        <f>HYPERLINK("https://klasma.github.io/Logging_1466/tillsyn/A 19923-2025 tillsynsbegäran.docx", "A 19923-2025")</f>
        <v/>
      </c>
      <c r="Y772">
        <f>HYPERLINK("https://klasma.github.io/Logging_1466/tillsynsmail/A 19923-2025 tillsynsbegäran mail.docx", "A 19923-2025")</f>
        <v/>
      </c>
    </row>
    <row r="773" ht="15" customHeight="1">
      <c r="A773" t="inlineStr">
        <is>
          <t>A 23704-2024</t>
        </is>
      </c>
      <c r="B773" s="1" t="n">
        <v>45454.71498842593</v>
      </c>
      <c r="C773" s="1" t="n">
        <v>46011</v>
      </c>
      <c r="D773" t="inlineStr">
        <is>
          <t>VÄSTRA GÖTALANDS LÄN</t>
        </is>
      </c>
      <c r="E773" t="inlineStr">
        <is>
          <t>KUNGÄLV</t>
        </is>
      </c>
      <c r="G773" t="n">
        <v>4.9</v>
      </c>
      <c r="H773" t="n">
        <v>1</v>
      </c>
      <c r="I773" t="n">
        <v>0</v>
      </c>
      <c r="J773" t="n">
        <v>0</v>
      </c>
      <c r="K773" t="n">
        <v>1</v>
      </c>
      <c r="L773" t="n">
        <v>0</v>
      </c>
      <c r="M773" t="n">
        <v>0</v>
      </c>
      <c r="N773" t="n">
        <v>0</v>
      </c>
      <c r="O773" t="n">
        <v>1</v>
      </c>
      <c r="P773" t="n">
        <v>1</v>
      </c>
      <c r="Q773" t="n">
        <v>1</v>
      </c>
      <c r="R773" s="2" t="inlineStr">
        <is>
          <t>Hedjohannesört</t>
        </is>
      </c>
      <c r="S773">
        <f>HYPERLINK("https://klasma.github.io/Logging_1482/artfynd/A 23704-2024 artfynd.xlsx", "A 23704-2024")</f>
        <v/>
      </c>
      <c r="T773">
        <f>HYPERLINK("https://klasma.github.io/Logging_1482/kartor/A 23704-2024 karta.png", "A 23704-2024")</f>
        <v/>
      </c>
      <c r="V773">
        <f>HYPERLINK("https://klasma.github.io/Logging_1482/klagomål/A 23704-2024 FSC-klagomål.docx", "A 23704-2024")</f>
        <v/>
      </c>
      <c r="W773">
        <f>HYPERLINK("https://klasma.github.io/Logging_1482/klagomålsmail/A 23704-2024 FSC-klagomål mail.docx", "A 23704-2024")</f>
        <v/>
      </c>
      <c r="X773">
        <f>HYPERLINK("https://klasma.github.io/Logging_1482/tillsyn/A 23704-2024 tillsynsbegäran.docx", "A 23704-2024")</f>
        <v/>
      </c>
      <c r="Y773">
        <f>HYPERLINK("https://klasma.github.io/Logging_1482/tillsynsmail/A 23704-2024 tillsynsbegäran mail.docx", "A 23704-2024")</f>
        <v/>
      </c>
    </row>
    <row r="774" ht="15" customHeight="1">
      <c r="A774" t="inlineStr">
        <is>
          <t>A 57442-2024</t>
        </is>
      </c>
      <c r="B774" s="1" t="n">
        <v>45629.88878472222</v>
      </c>
      <c r="C774" s="1" t="n">
        <v>46011</v>
      </c>
      <c r="D774" t="inlineStr">
        <is>
          <t>VÄSTRA GÖTALANDS LÄN</t>
        </is>
      </c>
      <c r="E774" t="inlineStr">
        <is>
          <t>BORÅS</t>
        </is>
      </c>
      <c r="G774" t="n">
        <v>1.7</v>
      </c>
      <c r="H774" t="n">
        <v>1</v>
      </c>
      <c r="I774" t="n">
        <v>0</v>
      </c>
      <c r="J774" t="n">
        <v>1</v>
      </c>
      <c r="K774" t="n">
        <v>0</v>
      </c>
      <c r="L774" t="n">
        <v>0</v>
      </c>
      <c r="M774" t="n">
        <v>0</v>
      </c>
      <c r="N774" t="n">
        <v>0</v>
      </c>
      <c r="O774" t="n">
        <v>1</v>
      </c>
      <c r="P774" t="n">
        <v>0</v>
      </c>
      <c r="Q774" t="n">
        <v>1</v>
      </c>
      <c r="R774" s="2" t="inlineStr">
        <is>
          <t>Spillkråka</t>
        </is>
      </c>
      <c r="S774">
        <f>HYPERLINK("https://klasma.github.io/Logging_1490/artfynd/A 57442-2024 artfynd.xlsx", "A 57442-2024")</f>
        <v/>
      </c>
      <c r="T774">
        <f>HYPERLINK("https://klasma.github.io/Logging_1490/kartor/A 57442-2024 karta.png", "A 57442-2024")</f>
        <v/>
      </c>
      <c r="V774">
        <f>HYPERLINK("https://klasma.github.io/Logging_1490/klagomål/A 57442-2024 FSC-klagomål.docx", "A 57442-2024")</f>
        <v/>
      </c>
      <c r="W774">
        <f>HYPERLINK("https://klasma.github.io/Logging_1490/klagomålsmail/A 57442-2024 FSC-klagomål mail.docx", "A 57442-2024")</f>
        <v/>
      </c>
      <c r="X774">
        <f>HYPERLINK("https://klasma.github.io/Logging_1490/tillsyn/A 57442-2024 tillsynsbegäran.docx", "A 57442-2024")</f>
        <v/>
      </c>
      <c r="Y774">
        <f>HYPERLINK("https://klasma.github.io/Logging_1490/tillsynsmail/A 57442-2024 tillsynsbegäran mail.docx", "A 57442-2024")</f>
        <v/>
      </c>
      <c r="Z774">
        <f>HYPERLINK("https://klasma.github.io/Logging_1490/fåglar/A 57442-2024 prioriterade fågelarter.docx", "A 57442-2024")</f>
        <v/>
      </c>
    </row>
    <row r="775" ht="15" customHeight="1">
      <c r="A775" t="inlineStr">
        <is>
          <t>A 10944-2025</t>
        </is>
      </c>
      <c r="B775" s="1" t="n">
        <v>45723.32413194444</v>
      </c>
      <c r="C775" s="1" t="n">
        <v>46011</v>
      </c>
      <c r="D775" t="inlineStr">
        <is>
          <t>VÄSTRA GÖTALANDS LÄN</t>
        </is>
      </c>
      <c r="E775" t="inlineStr">
        <is>
          <t>SVENLJUNGA</t>
        </is>
      </c>
      <c r="F775" t="inlineStr">
        <is>
          <t>Sveaskog</t>
        </is>
      </c>
      <c r="G775" t="n">
        <v>6.2</v>
      </c>
      <c r="H775" t="n">
        <v>0</v>
      </c>
      <c r="I775" t="n">
        <v>0</v>
      </c>
      <c r="J775" t="n">
        <v>0</v>
      </c>
      <c r="K775" t="n">
        <v>1</v>
      </c>
      <c r="L775" t="n">
        <v>0</v>
      </c>
      <c r="M775" t="n">
        <v>0</v>
      </c>
      <c r="N775" t="n">
        <v>0</v>
      </c>
      <c r="O775" t="n">
        <v>1</v>
      </c>
      <c r="P775" t="n">
        <v>1</v>
      </c>
      <c r="Q775" t="n">
        <v>1</v>
      </c>
      <c r="R775" s="2" t="inlineStr">
        <is>
          <t>Slåttergubbe</t>
        </is>
      </c>
      <c r="S775">
        <f>HYPERLINK("https://klasma.github.io/Logging_1465/artfynd/A 10944-2025 artfynd.xlsx", "A 10944-2025")</f>
        <v/>
      </c>
      <c r="T775">
        <f>HYPERLINK("https://klasma.github.io/Logging_1465/kartor/A 10944-2025 karta.png", "A 10944-2025")</f>
        <v/>
      </c>
      <c r="V775">
        <f>HYPERLINK("https://klasma.github.io/Logging_1465/klagomål/A 10944-2025 FSC-klagomål.docx", "A 10944-2025")</f>
        <v/>
      </c>
      <c r="W775">
        <f>HYPERLINK("https://klasma.github.io/Logging_1465/klagomålsmail/A 10944-2025 FSC-klagomål mail.docx", "A 10944-2025")</f>
        <v/>
      </c>
      <c r="X775">
        <f>HYPERLINK("https://klasma.github.io/Logging_1465/tillsyn/A 10944-2025 tillsynsbegäran.docx", "A 10944-2025")</f>
        <v/>
      </c>
      <c r="Y775">
        <f>HYPERLINK("https://klasma.github.io/Logging_1465/tillsynsmail/A 10944-2025 tillsynsbegäran mail.docx", "A 10944-2025")</f>
        <v/>
      </c>
    </row>
    <row r="776" ht="15" customHeight="1">
      <c r="A776" t="inlineStr">
        <is>
          <t>A 59263-2024</t>
        </is>
      </c>
      <c r="B776" s="1" t="n">
        <v>45637.60543981481</v>
      </c>
      <c r="C776" s="1" t="n">
        <v>46011</v>
      </c>
      <c r="D776" t="inlineStr">
        <is>
          <t>VÄSTRA GÖTALANDS LÄN</t>
        </is>
      </c>
      <c r="E776" t="inlineStr">
        <is>
          <t>MARK</t>
        </is>
      </c>
      <c r="G776" t="n">
        <v>2.4</v>
      </c>
      <c r="H776" t="n">
        <v>1</v>
      </c>
      <c r="I776" t="n">
        <v>0</v>
      </c>
      <c r="J776" t="n">
        <v>0</v>
      </c>
      <c r="K776" t="n">
        <v>0</v>
      </c>
      <c r="L776" t="n">
        <v>0</v>
      </c>
      <c r="M776" t="n">
        <v>0</v>
      </c>
      <c r="N776" t="n">
        <v>0</v>
      </c>
      <c r="O776" t="n">
        <v>0</v>
      </c>
      <c r="P776" t="n">
        <v>0</v>
      </c>
      <c r="Q776" t="n">
        <v>1</v>
      </c>
      <c r="R776" s="2" t="inlineStr">
        <is>
          <t>Revlummer</t>
        </is>
      </c>
      <c r="S776">
        <f>HYPERLINK("https://klasma.github.io/Logging_1463/artfynd/A 59263-2024 artfynd.xlsx", "A 59263-2024")</f>
        <v/>
      </c>
      <c r="T776">
        <f>HYPERLINK("https://klasma.github.io/Logging_1463/kartor/A 59263-2024 karta.png", "A 59263-2024")</f>
        <v/>
      </c>
      <c r="V776">
        <f>HYPERLINK("https://klasma.github.io/Logging_1463/klagomål/A 59263-2024 FSC-klagomål.docx", "A 59263-2024")</f>
        <v/>
      </c>
      <c r="W776">
        <f>HYPERLINK("https://klasma.github.io/Logging_1463/klagomålsmail/A 59263-2024 FSC-klagomål mail.docx", "A 59263-2024")</f>
        <v/>
      </c>
      <c r="X776">
        <f>HYPERLINK("https://klasma.github.io/Logging_1463/tillsyn/A 59263-2024 tillsynsbegäran.docx", "A 59263-2024")</f>
        <v/>
      </c>
      <c r="Y776">
        <f>HYPERLINK("https://klasma.github.io/Logging_1463/tillsynsmail/A 59263-2024 tillsynsbegäran mail.docx", "A 59263-2024")</f>
        <v/>
      </c>
    </row>
    <row r="777" ht="15" customHeight="1">
      <c r="A777" t="inlineStr">
        <is>
          <t>A 61742-2023</t>
        </is>
      </c>
      <c r="B777" s="1" t="n">
        <v>45265</v>
      </c>
      <c r="C777" s="1" t="n">
        <v>46011</v>
      </c>
      <c r="D777" t="inlineStr">
        <is>
          <t>VÄSTRA GÖTALANDS LÄN</t>
        </is>
      </c>
      <c r="E777" t="inlineStr">
        <is>
          <t>DALS-ED</t>
        </is>
      </c>
      <c r="G777" t="n">
        <v>0.6</v>
      </c>
      <c r="H777" t="n">
        <v>0</v>
      </c>
      <c r="I777" t="n">
        <v>1</v>
      </c>
      <c r="J777" t="n">
        <v>0</v>
      </c>
      <c r="K777" t="n">
        <v>0</v>
      </c>
      <c r="L777" t="n">
        <v>0</v>
      </c>
      <c r="M777" t="n">
        <v>0</v>
      </c>
      <c r="N777" t="n">
        <v>0</v>
      </c>
      <c r="O777" t="n">
        <v>0</v>
      </c>
      <c r="P777" t="n">
        <v>0</v>
      </c>
      <c r="Q777" t="n">
        <v>1</v>
      </c>
      <c r="R777" s="2" t="inlineStr">
        <is>
          <t>Björksplintborre</t>
        </is>
      </c>
      <c r="S777">
        <f>HYPERLINK("https://klasma.github.io/Logging_1438/artfynd/A 61742-2023 artfynd.xlsx", "A 61742-2023")</f>
        <v/>
      </c>
      <c r="T777">
        <f>HYPERLINK("https://klasma.github.io/Logging_1438/kartor/A 61742-2023 karta.png", "A 61742-2023")</f>
        <v/>
      </c>
      <c r="V777">
        <f>HYPERLINK("https://klasma.github.io/Logging_1438/klagomål/A 61742-2023 FSC-klagomål.docx", "A 61742-2023")</f>
        <v/>
      </c>
      <c r="W777">
        <f>HYPERLINK("https://klasma.github.io/Logging_1438/klagomålsmail/A 61742-2023 FSC-klagomål mail.docx", "A 61742-2023")</f>
        <v/>
      </c>
      <c r="X777">
        <f>HYPERLINK("https://klasma.github.io/Logging_1438/tillsyn/A 61742-2023 tillsynsbegäran.docx", "A 61742-2023")</f>
        <v/>
      </c>
      <c r="Y777">
        <f>HYPERLINK("https://klasma.github.io/Logging_1438/tillsynsmail/A 61742-2023 tillsynsbegäran mail.docx", "A 61742-2023")</f>
        <v/>
      </c>
    </row>
    <row r="778" ht="15" customHeight="1">
      <c r="A778" t="inlineStr">
        <is>
          <t>A 58467-2024</t>
        </is>
      </c>
      <c r="B778" s="1" t="n">
        <v>45635.3708912037</v>
      </c>
      <c r="C778" s="1" t="n">
        <v>46011</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Sommarfibbla</t>
        </is>
      </c>
      <c r="S778">
        <f>HYPERLINK("https://klasma.github.io/Logging_1496/artfynd/A 58467-2024 artfynd.xlsx", "A 58467-2024")</f>
        <v/>
      </c>
      <c r="T778">
        <f>HYPERLINK("https://klasma.github.io/Logging_1496/kartor/A 58467-2024 karta.png", "A 58467-2024")</f>
        <v/>
      </c>
      <c r="V778">
        <f>HYPERLINK("https://klasma.github.io/Logging_1496/klagomål/A 58467-2024 FSC-klagomål.docx", "A 58467-2024")</f>
        <v/>
      </c>
      <c r="W778">
        <f>HYPERLINK("https://klasma.github.io/Logging_1496/klagomålsmail/A 58467-2024 FSC-klagomål mail.docx", "A 58467-2024")</f>
        <v/>
      </c>
      <c r="X778">
        <f>HYPERLINK("https://klasma.github.io/Logging_1496/tillsyn/A 58467-2024 tillsynsbegäran.docx", "A 58467-2024")</f>
        <v/>
      </c>
      <c r="Y778">
        <f>HYPERLINK("https://klasma.github.io/Logging_1496/tillsynsmail/A 58467-2024 tillsynsbegäran mail.docx", "A 58467-2024")</f>
        <v/>
      </c>
    </row>
    <row r="779" ht="15" customHeight="1">
      <c r="A779" t="inlineStr">
        <is>
          <t>A 20665-2025</t>
        </is>
      </c>
      <c r="B779" s="1" t="n">
        <v>45776.42414351852</v>
      </c>
      <c r="C779" s="1" t="n">
        <v>46011</v>
      </c>
      <c r="D779" t="inlineStr">
        <is>
          <t>VÄSTRA GÖTALANDS LÄN</t>
        </is>
      </c>
      <c r="E779" t="inlineStr">
        <is>
          <t>MARK</t>
        </is>
      </c>
      <c r="G779" t="n">
        <v>4.3</v>
      </c>
      <c r="H779" t="n">
        <v>0</v>
      </c>
      <c r="I779" t="n">
        <v>0</v>
      </c>
      <c r="J779" t="n">
        <v>0</v>
      </c>
      <c r="K779" t="n">
        <v>0</v>
      </c>
      <c r="L779" t="n">
        <v>1</v>
      </c>
      <c r="M779" t="n">
        <v>0</v>
      </c>
      <c r="N779" t="n">
        <v>0</v>
      </c>
      <c r="O779" t="n">
        <v>1</v>
      </c>
      <c r="P779" t="n">
        <v>1</v>
      </c>
      <c r="Q779" t="n">
        <v>1</v>
      </c>
      <c r="R779" s="2" t="inlineStr">
        <is>
          <t>Ask</t>
        </is>
      </c>
      <c r="S779">
        <f>HYPERLINK("https://klasma.github.io/Logging_1463/artfynd/A 20665-2025 artfynd.xlsx", "A 20665-2025")</f>
        <v/>
      </c>
      <c r="T779">
        <f>HYPERLINK("https://klasma.github.io/Logging_1463/kartor/A 20665-2025 karta.png", "A 20665-2025")</f>
        <v/>
      </c>
      <c r="V779">
        <f>HYPERLINK("https://klasma.github.io/Logging_1463/klagomål/A 20665-2025 FSC-klagomål.docx", "A 20665-2025")</f>
        <v/>
      </c>
      <c r="W779">
        <f>HYPERLINK("https://klasma.github.io/Logging_1463/klagomålsmail/A 20665-2025 FSC-klagomål mail.docx", "A 20665-2025")</f>
        <v/>
      </c>
      <c r="X779">
        <f>HYPERLINK("https://klasma.github.io/Logging_1463/tillsyn/A 20665-2025 tillsynsbegäran.docx", "A 20665-2025")</f>
        <v/>
      </c>
      <c r="Y779">
        <f>HYPERLINK("https://klasma.github.io/Logging_1463/tillsynsmail/A 20665-2025 tillsynsbegäran mail.docx", "A 20665-2025")</f>
        <v/>
      </c>
    </row>
    <row r="780" ht="15" customHeight="1">
      <c r="A780" t="inlineStr">
        <is>
          <t>A 21290-2025</t>
        </is>
      </c>
      <c r="B780" s="1" t="n">
        <v>45779.82824074074</v>
      </c>
      <c r="C780" s="1" t="n">
        <v>46011</v>
      </c>
      <c r="D780" t="inlineStr">
        <is>
          <t>VÄSTRA GÖTALANDS LÄN</t>
        </is>
      </c>
      <c r="E780" t="inlineStr">
        <is>
          <t>ULRICEHAMN</t>
        </is>
      </c>
      <c r="G780" t="n">
        <v>2.2</v>
      </c>
      <c r="H780" t="n">
        <v>0</v>
      </c>
      <c r="I780" t="n">
        <v>1</v>
      </c>
      <c r="J780" t="n">
        <v>0</v>
      </c>
      <c r="K780" t="n">
        <v>0</v>
      </c>
      <c r="L780" t="n">
        <v>0</v>
      </c>
      <c r="M780" t="n">
        <v>0</v>
      </c>
      <c r="N780" t="n">
        <v>0</v>
      </c>
      <c r="O780" t="n">
        <v>0</v>
      </c>
      <c r="P780" t="n">
        <v>0</v>
      </c>
      <c r="Q780" t="n">
        <v>1</v>
      </c>
      <c r="R780" s="2" t="inlineStr">
        <is>
          <t>Fällmossa</t>
        </is>
      </c>
      <c r="S780">
        <f>HYPERLINK("https://klasma.github.io/Logging_1491/artfynd/A 21290-2025 artfynd.xlsx", "A 21290-2025")</f>
        <v/>
      </c>
      <c r="T780">
        <f>HYPERLINK("https://klasma.github.io/Logging_1491/kartor/A 21290-2025 karta.png", "A 21290-2025")</f>
        <v/>
      </c>
      <c r="V780">
        <f>HYPERLINK("https://klasma.github.io/Logging_1491/klagomål/A 21290-2025 FSC-klagomål.docx", "A 21290-2025")</f>
        <v/>
      </c>
      <c r="W780">
        <f>HYPERLINK("https://klasma.github.io/Logging_1491/klagomålsmail/A 21290-2025 FSC-klagomål mail.docx", "A 21290-2025")</f>
        <v/>
      </c>
      <c r="X780">
        <f>HYPERLINK("https://klasma.github.io/Logging_1491/tillsyn/A 21290-2025 tillsynsbegäran.docx", "A 21290-2025")</f>
        <v/>
      </c>
      <c r="Y780">
        <f>HYPERLINK("https://klasma.github.io/Logging_1491/tillsynsmail/A 21290-2025 tillsynsbegäran mail.docx", "A 21290-2025")</f>
        <v/>
      </c>
    </row>
    <row r="781" ht="15" customHeight="1">
      <c r="A781" t="inlineStr">
        <is>
          <t>A 21728-2025</t>
        </is>
      </c>
      <c r="B781" s="1" t="n">
        <v>45783.57771990741</v>
      </c>
      <c r="C781" s="1" t="n">
        <v>46011</v>
      </c>
      <c r="D781" t="inlineStr">
        <is>
          <t>VÄSTRA GÖTALANDS LÄN</t>
        </is>
      </c>
      <c r="E781" t="inlineStr">
        <is>
          <t>BORÅS</t>
        </is>
      </c>
      <c r="G781" t="n">
        <v>11.9</v>
      </c>
      <c r="H781" t="n">
        <v>0</v>
      </c>
      <c r="I781" t="n">
        <v>1</v>
      </c>
      <c r="J781" t="n">
        <v>0</v>
      </c>
      <c r="K781" t="n">
        <v>0</v>
      </c>
      <c r="L781" t="n">
        <v>0</v>
      </c>
      <c r="M781" t="n">
        <v>0</v>
      </c>
      <c r="N781" t="n">
        <v>0</v>
      </c>
      <c r="O781" t="n">
        <v>0</v>
      </c>
      <c r="P781" t="n">
        <v>0</v>
      </c>
      <c r="Q781" t="n">
        <v>1</v>
      </c>
      <c r="R781" s="2" t="inlineStr">
        <is>
          <t>Rävticka</t>
        </is>
      </c>
      <c r="S781">
        <f>HYPERLINK("https://klasma.github.io/Logging_1490/artfynd/A 21728-2025 artfynd.xlsx", "A 21728-2025")</f>
        <v/>
      </c>
      <c r="T781">
        <f>HYPERLINK("https://klasma.github.io/Logging_1490/kartor/A 21728-2025 karta.png", "A 21728-2025")</f>
        <v/>
      </c>
      <c r="V781">
        <f>HYPERLINK("https://klasma.github.io/Logging_1490/klagomål/A 21728-2025 FSC-klagomål.docx", "A 21728-2025")</f>
        <v/>
      </c>
      <c r="W781">
        <f>HYPERLINK("https://klasma.github.io/Logging_1490/klagomålsmail/A 21728-2025 FSC-klagomål mail.docx", "A 21728-2025")</f>
        <v/>
      </c>
      <c r="X781">
        <f>HYPERLINK("https://klasma.github.io/Logging_1490/tillsyn/A 21728-2025 tillsynsbegäran.docx", "A 21728-2025")</f>
        <v/>
      </c>
      <c r="Y781">
        <f>HYPERLINK("https://klasma.github.io/Logging_1490/tillsynsmail/A 21728-2025 tillsynsbegäran mail.docx", "A 21728-2025")</f>
        <v/>
      </c>
    </row>
    <row r="782" ht="15" customHeight="1">
      <c r="A782" t="inlineStr">
        <is>
          <t>A 21672-2025</t>
        </is>
      </c>
      <c r="B782" s="1" t="n">
        <v>45783</v>
      </c>
      <c r="C782" s="1" t="n">
        <v>46011</v>
      </c>
      <c r="D782" t="inlineStr">
        <is>
          <t>VÄSTRA GÖTALANDS LÄN</t>
        </is>
      </c>
      <c r="E782" t="inlineStr">
        <is>
          <t>ULRICEHAMN</t>
        </is>
      </c>
      <c r="G782" t="n">
        <v>4.3</v>
      </c>
      <c r="H782" t="n">
        <v>1</v>
      </c>
      <c r="I782" t="n">
        <v>0</v>
      </c>
      <c r="J782" t="n">
        <v>1</v>
      </c>
      <c r="K782" t="n">
        <v>0</v>
      </c>
      <c r="L782" t="n">
        <v>0</v>
      </c>
      <c r="M782" t="n">
        <v>0</v>
      </c>
      <c r="N782" t="n">
        <v>0</v>
      </c>
      <c r="O782" t="n">
        <v>1</v>
      </c>
      <c r="P782" t="n">
        <v>0</v>
      </c>
      <c r="Q782" t="n">
        <v>1</v>
      </c>
      <c r="R782" s="2" t="inlineStr">
        <is>
          <t>Spillkråka</t>
        </is>
      </c>
      <c r="S782">
        <f>HYPERLINK("https://klasma.github.io/Logging_1491/artfynd/A 21672-2025 artfynd.xlsx", "A 21672-2025")</f>
        <v/>
      </c>
      <c r="T782">
        <f>HYPERLINK("https://klasma.github.io/Logging_1491/kartor/A 21672-2025 karta.png", "A 21672-2025")</f>
        <v/>
      </c>
      <c r="V782">
        <f>HYPERLINK("https://klasma.github.io/Logging_1491/klagomål/A 21672-2025 FSC-klagomål.docx", "A 21672-2025")</f>
        <v/>
      </c>
      <c r="W782">
        <f>HYPERLINK("https://klasma.github.io/Logging_1491/klagomålsmail/A 21672-2025 FSC-klagomål mail.docx", "A 21672-2025")</f>
        <v/>
      </c>
      <c r="X782">
        <f>HYPERLINK("https://klasma.github.io/Logging_1491/tillsyn/A 21672-2025 tillsynsbegäran.docx", "A 21672-2025")</f>
        <v/>
      </c>
      <c r="Y782">
        <f>HYPERLINK("https://klasma.github.io/Logging_1491/tillsynsmail/A 21672-2025 tillsynsbegäran mail.docx", "A 21672-2025")</f>
        <v/>
      </c>
      <c r="Z782">
        <f>HYPERLINK("https://klasma.github.io/Logging_1491/fåglar/A 21672-2025 prioriterade fågelarter.docx", "A 21672-2025")</f>
        <v/>
      </c>
    </row>
    <row r="783" ht="15" customHeight="1">
      <c r="A783" t="inlineStr">
        <is>
          <t>A 47321-2023</t>
        </is>
      </c>
      <c r="B783" s="1" t="n">
        <v>45202.50942129629</v>
      </c>
      <c r="C783" s="1" t="n">
        <v>46011</v>
      </c>
      <c r="D783" t="inlineStr">
        <is>
          <t>VÄSTRA GÖTALANDS LÄN</t>
        </is>
      </c>
      <c r="E783" t="inlineStr">
        <is>
          <t>LIDKÖPING</t>
        </is>
      </c>
      <c r="G783" t="n">
        <v>7.3</v>
      </c>
      <c r="H783" t="n">
        <v>1</v>
      </c>
      <c r="I783" t="n">
        <v>0</v>
      </c>
      <c r="J783" t="n">
        <v>0</v>
      </c>
      <c r="K783" t="n">
        <v>0</v>
      </c>
      <c r="L783" t="n">
        <v>0</v>
      </c>
      <c r="M783" t="n">
        <v>0</v>
      </c>
      <c r="N783" t="n">
        <v>0</v>
      </c>
      <c r="O783" t="n">
        <v>0</v>
      </c>
      <c r="P783" t="n">
        <v>0</v>
      </c>
      <c r="Q783" t="n">
        <v>1</v>
      </c>
      <c r="R783" s="2" t="inlineStr">
        <is>
          <t>Kungsfågel</t>
        </is>
      </c>
      <c r="S783">
        <f>HYPERLINK("https://klasma.github.io/Logging_1494/artfynd/A 47321-2023 artfynd.xlsx", "A 47321-2023")</f>
        <v/>
      </c>
      <c r="T783">
        <f>HYPERLINK("https://klasma.github.io/Logging_1494/kartor/A 47321-2023 karta.png", "A 47321-2023")</f>
        <v/>
      </c>
      <c r="V783">
        <f>HYPERLINK("https://klasma.github.io/Logging_1494/klagomål/A 47321-2023 FSC-klagomål.docx", "A 47321-2023")</f>
        <v/>
      </c>
      <c r="W783">
        <f>HYPERLINK("https://klasma.github.io/Logging_1494/klagomålsmail/A 47321-2023 FSC-klagomål mail.docx", "A 47321-2023")</f>
        <v/>
      </c>
      <c r="X783">
        <f>HYPERLINK("https://klasma.github.io/Logging_1494/tillsyn/A 47321-2023 tillsynsbegäran.docx", "A 47321-2023")</f>
        <v/>
      </c>
      <c r="Y783">
        <f>HYPERLINK("https://klasma.github.io/Logging_1494/tillsynsmail/A 47321-2023 tillsynsbegäran mail.docx", "A 47321-2023")</f>
        <v/>
      </c>
      <c r="Z783">
        <f>HYPERLINK("https://klasma.github.io/Logging_1494/fåglar/A 47321-2023 prioriterade fågelarter.docx", "A 47321-2023")</f>
        <v/>
      </c>
    </row>
    <row r="784" ht="15" customHeight="1">
      <c r="A784" t="inlineStr">
        <is>
          <t>A 43216-2023</t>
        </is>
      </c>
      <c r="B784" s="1" t="n">
        <v>45183</v>
      </c>
      <c r="C784" s="1" t="n">
        <v>46011</v>
      </c>
      <c r="D784" t="inlineStr">
        <is>
          <t>VÄSTRA GÖTALANDS LÄN</t>
        </is>
      </c>
      <c r="E784" t="inlineStr">
        <is>
          <t>DALS-ED</t>
        </is>
      </c>
      <c r="G784" t="n">
        <v>7.3</v>
      </c>
      <c r="H784" t="n">
        <v>1</v>
      </c>
      <c r="I784" t="n">
        <v>0</v>
      </c>
      <c r="J784" t="n">
        <v>1</v>
      </c>
      <c r="K784" t="n">
        <v>0</v>
      </c>
      <c r="L784" t="n">
        <v>0</v>
      </c>
      <c r="M784" t="n">
        <v>0</v>
      </c>
      <c r="N784" t="n">
        <v>0</v>
      </c>
      <c r="O784" t="n">
        <v>1</v>
      </c>
      <c r="P784" t="n">
        <v>0</v>
      </c>
      <c r="Q784" t="n">
        <v>1</v>
      </c>
      <c r="R784" s="2" t="inlineStr">
        <is>
          <t>Spillkråka</t>
        </is>
      </c>
      <c r="S784">
        <f>HYPERLINK("https://klasma.github.io/Logging_1438/artfynd/A 43216-2023 artfynd.xlsx", "A 43216-2023")</f>
        <v/>
      </c>
      <c r="T784">
        <f>HYPERLINK("https://klasma.github.io/Logging_1438/kartor/A 43216-2023 karta.png", "A 43216-2023")</f>
        <v/>
      </c>
      <c r="V784">
        <f>HYPERLINK("https://klasma.github.io/Logging_1438/klagomål/A 43216-2023 FSC-klagomål.docx", "A 43216-2023")</f>
        <v/>
      </c>
      <c r="W784">
        <f>HYPERLINK("https://klasma.github.io/Logging_1438/klagomålsmail/A 43216-2023 FSC-klagomål mail.docx", "A 43216-2023")</f>
        <v/>
      </c>
      <c r="X784">
        <f>HYPERLINK("https://klasma.github.io/Logging_1438/tillsyn/A 43216-2023 tillsynsbegäran.docx", "A 43216-2023")</f>
        <v/>
      </c>
      <c r="Y784">
        <f>HYPERLINK("https://klasma.github.io/Logging_1438/tillsynsmail/A 43216-2023 tillsynsbegäran mail.docx", "A 43216-2023")</f>
        <v/>
      </c>
      <c r="Z784">
        <f>HYPERLINK("https://klasma.github.io/Logging_1438/fåglar/A 43216-2023 prioriterade fågelarter.docx", "A 43216-2023")</f>
        <v/>
      </c>
    </row>
    <row r="785" ht="15" customHeight="1">
      <c r="A785" t="inlineStr">
        <is>
          <t>A 54031-2024</t>
        </is>
      </c>
      <c r="B785" s="1" t="n">
        <v>45616.40061342593</v>
      </c>
      <c r="C785" s="1" t="n">
        <v>46011</v>
      </c>
      <c r="D785" t="inlineStr">
        <is>
          <t>VÄSTRA GÖTALANDS LÄN</t>
        </is>
      </c>
      <c r="E785" t="inlineStr">
        <is>
          <t>TRANEMO</t>
        </is>
      </c>
      <c r="G785" t="n">
        <v>3</v>
      </c>
      <c r="H785" t="n">
        <v>0</v>
      </c>
      <c r="I785" t="n">
        <v>0</v>
      </c>
      <c r="J785" t="n">
        <v>0</v>
      </c>
      <c r="K785" t="n">
        <v>1</v>
      </c>
      <c r="L785" t="n">
        <v>0</v>
      </c>
      <c r="M785" t="n">
        <v>0</v>
      </c>
      <c r="N785" t="n">
        <v>0</v>
      </c>
      <c r="O785" t="n">
        <v>1</v>
      </c>
      <c r="P785" t="n">
        <v>1</v>
      </c>
      <c r="Q785" t="n">
        <v>1</v>
      </c>
      <c r="R785" s="2" t="inlineStr">
        <is>
          <t>Kullerlöpare</t>
        </is>
      </c>
      <c r="S785">
        <f>HYPERLINK("https://klasma.github.io/Logging_1452/artfynd/A 54031-2024 artfynd.xlsx", "A 54031-2024")</f>
        <v/>
      </c>
      <c r="T785">
        <f>HYPERLINK("https://klasma.github.io/Logging_1452/kartor/A 54031-2024 karta.png", "A 54031-2024")</f>
        <v/>
      </c>
      <c r="V785">
        <f>HYPERLINK("https://klasma.github.io/Logging_1452/klagomål/A 54031-2024 FSC-klagomål.docx", "A 54031-2024")</f>
        <v/>
      </c>
      <c r="W785">
        <f>HYPERLINK("https://klasma.github.io/Logging_1452/klagomålsmail/A 54031-2024 FSC-klagomål mail.docx", "A 54031-2024")</f>
        <v/>
      </c>
      <c r="X785">
        <f>HYPERLINK("https://klasma.github.io/Logging_1452/tillsyn/A 54031-2024 tillsynsbegäran.docx", "A 54031-2024")</f>
        <v/>
      </c>
      <c r="Y785">
        <f>HYPERLINK("https://klasma.github.io/Logging_1452/tillsynsmail/A 54031-2024 tillsynsbegäran mail.docx", "A 54031-2024")</f>
        <v/>
      </c>
    </row>
    <row r="786" ht="15" customHeight="1">
      <c r="A786" t="inlineStr">
        <is>
          <t>A 14063-2025</t>
        </is>
      </c>
      <c r="B786" s="1" t="n">
        <v>45740.41236111111</v>
      </c>
      <c r="C786" s="1" t="n">
        <v>46011</v>
      </c>
      <c r="D786" t="inlineStr">
        <is>
          <t>VÄSTRA GÖTALANDS LÄN</t>
        </is>
      </c>
      <c r="E786" t="inlineStr">
        <is>
          <t>UDDEVALLA</t>
        </is>
      </c>
      <c r="G786" t="n">
        <v>8.800000000000001</v>
      </c>
      <c r="H786" t="n">
        <v>1</v>
      </c>
      <c r="I786" t="n">
        <v>0</v>
      </c>
      <c r="J786" t="n">
        <v>0</v>
      </c>
      <c r="K786" t="n">
        <v>0</v>
      </c>
      <c r="L786" t="n">
        <v>0</v>
      </c>
      <c r="M786" t="n">
        <v>0</v>
      </c>
      <c r="N786" t="n">
        <v>0</v>
      </c>
      <c r="O786" t="n">
        <v>0</v>
      </c>
      <c r="P786" t="n">
        <v>0</v>
      </c>
      <c r="Q786" t="n">
        <v>1</v>
      </c>
      <c r="R786" s="2" t="inlineStr">
        <is>
          <t>Mattlummer</t>
        </is>
      </c>
      <c r="S786">
        <f>HYPERLINK("https://klasma.github.io/Logging_1485/artfynd/A 14063-2025 artfynd.xlsx", "A 14063-2025")</f>
        <v/>
      </c>
      <c r="T786">
        <f>HYPERLINK("https://klasma.github.io/Logging_1485/kartor/A 14063-2025 karta.png", "A 14063-2025")</f>
        <v/>
      </c>
      <c r="V786">
        <f>HYPERLINK("https://klasma.github.io/Logging_1485/klagomål/A 14063-2025 FSC-klagomål.docx", "A 14063-2025")</f>
        <v/>
      </c>
      <c r="W786">
        <f>HYPERLINK("https://klasma.github.io/Logging_1485/klagomålsmail/A 14063-2025 FSC-klagomål mail.docx", "A 14063-2025")</f>
        <v/>
      </c>
      <c r="X786">
        <f>HYPERLINK("https://klasma.github.io/Logging_1485/tillsyn/A 14063-2025 tillsynsbegäran.docx", "A 14063-2025")</f>
        <v/>
      </c>
      <c r="Y786">
        <f>HYPERLINK("https://klasma.github.io/Logging_1485/tillsynsmail/A 14063-2025 tillsynsbegäran mail.docx", "A 14063-2025")</f>
        <v/>
      </c>
    </row>
    <row r="787" ht="15" customHeight="1">
      <c r="A787" t="inlineStr">
        <is>
          <t>A 10014-2025</t>
        </is>
      </c>
      <c r="B787" s="1" t="n">
        <v>45719.46746527778</v>
      </c>
      <c r="C787" s="1" t="n">
        <v>46011</v>
      </c>
      <c r="D787" t="inlineStr">
        <is>
          <t>VÄSTRA GÖTALANDS LÄN</t>
        </is>
      </c>
      <c r="E787" t="inlineStr">
        <is>
          <t>HJO</t>
        </is>
      </c>
      <c r="G787" t="n">
        <v>5.9</v>
      </c>
      <c r="H787" t="n">
        <v>1</v>
      </c>
      <c r="I787" t="n">
        <v>0</v>
      </c>
      <c r="J787" t="n">
        <v>0</v>
      </c>
      <c r="K787" t="n">
        <v>1</v>
      </c>
      <c r="L787" t="n">
        <v>0</v>
      </c>
      <c r="M787" t="n">
        <v>0</v>
      </c>
      <c r="N787" t="n">
        <v>0</v>
      </c>
      <c r="O787" t="n">
        <v>1</v>
      </c>
      <c r="P787" t="n">
        <v>1</v>
      </c>
      <c r="Q787" t="n">
        <v>1</v>
      </c>
      <c r="R787" s="2" t="inlineStr">
        <is>
          <t>Knärot</t>
        </is>
      </c>
      <c r="S787">
        <f>HYPERLINK("https://klasma.github.io/Logging_1497/artfynd/A 10014-2025 artfynd.xlsx", "A 10014-2025")</f>
        <v/>
      </c>
      <c r="T787">
        <f>HYPERLINK("https://klasma.github.io/Logging_1497/kartor/A 10014-2025 karta.png", "A 10014-2025")</f>
        <v/>
      </c>
      <c r="U787">
        <f>HYPERLINK("https://klasma.github.io/Logging_1497/knärot/A 10014-2025 karta knärot.png", "A 10014-2025")</f>
        <v/>
      </c>
      <c r="V787">
        <f>HYPERLINK("https://klasma.github.io/Logging_1497/klagomål/A 10014-2025 FSC-klagomål.docx", "A 10014-2025")</f>
        <v/>
      </c>
      <c r="W787">
        <f>HYPERLINK("https://klasma.github.io/Logging_1497/klagomålsmail/A 10014-2025 FSC-klagomål mail.docx", "A 10014-2025")</f>
        <v/>
      </c>
      <c r="X787">
        <f>HYPERLINK("https://klasma.github.io/Logging_1497/tillsyn/A 10014-2025 tillsynsbegäran.docx", "A 10014-2025")</f>
        <v/>
      </c>
      <c r="Y787">
        <f>HYPERLINK("https://klasma.github.io/Logging_1497/tillsynsmail/A 10014-2025 tillsynsbegäran mail.docx", "A 10014-2025")</f>
        <v/>
      </c>
    </row>
    <row r="788" ht="15" customHeight="1">
      <c r="A788" t="inlineStr">
        <is>
          <t>A 12709-2025</t>
        </is>
      </c>
      <c r="B788" s="1" t="n">
        <v>45733.47122685185</v>
      </c>
      <c r="C788" s="1" t="n">
        <v>46011</v>
      </c>
      <c r="D788" t="inlineStr">
        <is>
          <t>VÄSTRA GÖTALANDS LÄN</t>
        </is>
      </c>
      <c r="E788" t="inlineStr">
        <is>
          <t>GULLSPÅNG</t>
        </is>
      </c>
      <c r="G788" t="n">
        <v>0.4</v>
      </c>
      <c r="H788" t="n">
        <v>1</v>
      </c>
      <c r="I788" t="n">
        <v>0</v>
      </c>
      <c r="J788" t="n">
        <v>0</v>
      </c>
      <c r="K788" t="n">
        <v>1</v>
      </c>
      <c r="L788" t="n">
        <v>0</v>
      </c>
      <c r="M788" t="n">
        <v>0</v>
      </c>
      <c r="N788" t="n">
        <v>0</v>
      </c>
      <c r="O788" t="n">
        <v>1</v>
      </c>
      <c r="P788" t="n">
        <v>1</v>
      </c>
      <c r="Q788" t="n">
        <v>1</v>
      </c>
      <c r="R788" s="2" t="inlineStr">
        <is>
          <t>Knärot</t>
        </is>
      </c>
      <c r="S788">
        <f>HYPERLINK("https://klasma.github.io/Logging_1447/artfynd/A 12709-2025 artfynd.xlsx", "A 12709-2025")</f>
        <v/>
      </c>
      <c r="T788">
        <f>HYPERLINK("https://klasma.github.io/Logging_1447/kartor/A 12709-2025 karta.png", "A 12709-2025")</f>
        <v/>
      </c>
      <c r="U788">
        <f>HYPERLINK("https://klasma.github.io/Logging_1447/knärot/A 12709-2025 karta knärot.png", "A 12709-2025")</f>
        <v/>
      </c>
      <c r="V788">
        <f>HYPERLINK("https://klasma.github.io/Logging_1447/klagomål/A 12709-2025 FSC-klagomål.docx", "A 12709-2025")</f>
        <v/>
      </c>
      <c r="W788">
        <f>HYPERLINK("https://klasma.github.io/Logging_1447/klagomålsmail/A 12709-2025 FSC-klagomål mail.docx", "A 12709-2025")</f>
        <v/>
      </c>
      <c r="X788">
        <f>HYPERLINK("https://klasma.github.io/Logging_1447/tillsyn/A 12709-2025 tillsynsbegäran.docx", "A 12709-2025")</f>
        <v/>
      </c>
      <c r="Y788">
        <f>HYPERLINK("https://klasma.github.io/Logging_1447/tillsynsmail/A 12709-2025 tillsynsbegäran mail.docx", "A 12709-2025")</f>
        <v/>
      </c>
    </row>
    <row r="789" ht="15" customHeight="1">
      <c r="A789" t="inlineStr">
        <is>
          <t>A 12168-2025</t>
        </is>
      </c>
      <c r="B789" s="1" t="n">
        <v>45729.4359375</v>
      </c>
      <c r="C789" s="1" t="n">
        <v>46011</v>
      </c>
      <c r="D789" t="inlineStr">
        <is>
          <t>VÄSTRA GÖTALANDS LÄN</t>
        </is>
      </c>
      <c r="E789" t="inlineStr">
        <is>
          <t>TÖREBODA</t>
        </is>
      </c>
      <c r="G789" t="n">
        <v>2.1</v>
      </c>
      <c r="H789" t="n">
        <v>1</v>
      </c>
      <c r="I789" t="n">
        <v>0</v>
      </c>
      <c r="J789" t="n">
        <v>1</v>
      </c>
      <c r="K789" t="n">
        <v>0</v>
      </c>
      <c r="L789" t="n">
        <v>0</v>
      </c>
      <c r="M789" t="n">
        <v>0</v>
      </c>
      <c r="N789" t="n">
        <v>0</v>
      </c>
      <c r="O789" t="n">
        <v>1</v>
      </c>
      <c r="P789" t="n">
        <v>0</v>
      </c>
      <c r="Q789" t="n">
        <v>1</v>
      </c>
      <c r="R789" s="2" t="inlineStr">
        <is>
          <t>Spillkråka</t>
        </is>
      </c>
      <c r="S789">
        <f>HYPERLINK("https://klasma.github.io/Logging_1473/artfynd/A 12168-2025 artfynd.xlsx", "A 12168-2025")</f>
        <v/>
      </c>
      <c r="T789">
        <f>HYPERLINK("https://klasma.github.io/Logging_1473/kartor/A 12168-2025 karta.png", "A 12168-2025")</f>
        <v/>
      </c>
      <c r="V789">
        <f>HYPERLINK("https://klasma.github.io/Logging_1473/klagomål/A 12168-2025 FSC-klagomål.docx", "A 12168-2025")</f>
        <v/>
      </c>
      <c r="W789">
        <f>HYPERLINK("https://klasma.github.io/Logging_1473/klagomålsmail/A 12168-2025 FSC-klagomål mail.docx", "A 12168-2025")</f>
        <v/>
      </c>
      <c r="X789">
        <f>HYPERLINK("https://klasma.github.io/Logging_1473/tillsyn/A 12168-2025 tillsynsbegäran.docx", "A 12168-2025")</f>
        <v/>
      </c>
      <c r="Y789">
        <f>HYPERLINK("https://klasma.github.io/Logging_1473/tillsynsmail/A 12168-2025 tillsynsbegäran mail.docx", "A 12168-2025")</f>
        <v/>
      </c>
      <c r="Z789">
        <f>HYPERLINK("https://klasma.github.io/Logging_1473/fåglar/A 12168-2025 prioriterade fågelarter.docx", "A 12168-2025")</f>
        <v/>
      </c>
    </row>
    <row r="790" ht="15" customHeight="1">
      <c r="A790" t="inlineStr">
        <is>
          <t>A 46272-2024</t>
        </is>
      </c>
      <c r="B790" s="1" t="n">
        <v>45581</v>
      </c>
      <c r="C790" s="1" t="n">
        <v>46011</v>
      </c>
      <c r="D790" t="inlineStr">
        <is>
          <t>VÄSTRA GÖTALANDS LÄN</t>
        </is>
      </c>
      <c r="E790" t="inlineStr">
        <is>
          <t>ORUST</t>
        </is>
      </c>
      <c r="G790" t="n">
        <v>2.8</v>
      </c>
      <c r="H790" t="n">
        <v>0</v>
      </c>
      <c r="I790" t="n">
        <v>1</v>
      </c>
      <c r="J790" t="n">
        <v>0</v>
      </c>
      <c r="K790" t="n">
        <v>0</v>
      </c>
      <c r="L790" t="n">
        <v>0</v>
      </c>
      <c r="M790" t="n">
        <v>0</v>
      </c>
      <c r="N790" t="n">
        <v>0</v>
      </c>
      <c r="O790" t="n">
        <v>0</v>
      </c>
      <c r="P790" t="n">
        <v>0</v>
      </c>
      <c r="Q790" t="n">
        <v>1</v>
      </c>
      <c r="R790" s="2" t="inlineStr">
        <is>
          <t>Grovticka</t>
        </is>
      </c>
      <c r="S790">
        <f>HYPERLINK("https://klasma.github.io/Logging_1421/artfynd/A 46272-2024 artfynd.xlsx", "A 46272-2024")</f>
        <v/>
      </c>
      <c r="T790">
        <f>HYPERLINK("https://klasma.github.io/Logging_1421/kartor/A 46272-2024 karta.png", "A 46272-2024")</f>
        <v/>
      </c>
      <c r="V790">
        <f>HYPERLINK("https://klasma.github.io/Logging_1421/klagomål/A 46272-2024 FSC-klagomål.docx", "A 46272-2024")</f>
        <v/>
      </c>
      <c r="W790">
        <f>HYPERLINK("https://klasma.github.io/Logging_1421/klagomålsmail/A 46272-2024 FSC-klagomål mail.docx", "A 46272-2024")</f>
        <v/>
      </c>
      <c r="X790">
        <f>HYPERLINK("https://klasma.github.io/Logging_1421/tillsyn/A 46272-2024 tillsynsbegäran.docx", "A 46272-2024")</f>
        <v/>
      </c>
      <c r="Y790">
        <f>HYPERLINK("https://klasma.github.io/Logging_1421/tillsynsmail/A 46272-2024 tillsynsbegäran mail.docx", "A 46272-2024")</f>
        <v/>
      </c>
    </row>
    <row r="791" ht="15" customHeight="1">
      <c r="A791" t="inlineStr">
        <is>
          <t>A 9650-2025</t>
        </is>
      </c>
      <c r="B791" s="1" t="n">
        <v>45716.26487268518</v>
      </c>
      <c r="C791" s="1" t="n">
        <v>46011</v>
      </c>
      <c r="D791" t="inlineStr">
        <is>
          <t>VÄSTRA GÖTALANDS LÄN</t>
        </is>
      </c>
      <c r="E791" t="inlineStr">
        <is>
          <t>MARIESTAD</t>
        </is>
      </c>
      <c r="F791" t="inlineStr">
        <is>
          <t>Sveaskog</t>
        </is>
      </c>
      <c r="G791" t="n">
        <v>2.8</v>
      </c>
      <c r="H791" t="n">
        <v>1</v>
      </c>
      <c r="I791" t="n">
        <v>0</v>
      </c>
      <c r="J791" t="n">
        <v>0</v>
      </c>
      <c r="K791" t="n">
        <v>0</v>
      </c>
      <c r="L791" t="n">
        <v>0</v>
      </c>
      <c r="M791" t="n">
        <v>0</v>
      </c>
      <c r="N791" t="n">
        <v>0</v>
      </c>
      <c r="O791" t="n">
        <v>0</v>
      </c>
      <c r="P791" t="n">
        <v>0</v>
      </c>
      <c r="Q791" t="n">
        <v>1</v>
      </c>
      <c r="R791" s="2" t="inlineStr">
        <is>
          <t>Revlummer</t>
        </is>
      </c>
      <c r="S791">
        <f>HYPERLINK("https://klasma.github.io/Logging_1493/artfynd/A 9650-2025 artfynd.xlsx", "A 9650-2025")</f>
        <v/>
      </c>
      <c r="T791">
        <f>HYPERLINK("https://klasma.github.io/Logging_1493/kartor/A 9650-2025 karta.png", "A 9650-2025")</f>
        <v/>
      </c>
      <c r="V791">
        <f>HYPERLINK("https://klasma.github.io/Logging_1493/klagomål/A 9650-2025 FSC-klagomål.docx", "A 9650-2025")</f>
        <v/>
      </c>
      <c r="W791">
        <f>HYPERLINK("https://klasma.github.io/Logging_1493/klagomålsmail/A 9650-2025 FSC-klagomål mail.docx", "A 9650-2025")</f>
        <v/>
      </c>
      <c r="X791">
        <f>HYPERLINK("https://klasma.github.io/Logging_1493/tillsyn/A 9650-2025 tillsynsbegäran.docx", "A 9650-2025")</f>
        <v/>
      </c>
      <c r="Y791">
        <f>HYPERLINK("https://klasma.github.io/Logging_1493/tillsynsmail/A 9650-2025 tillsynsbegäran mail.docx", "A 9650-2025")</f>
        <v/>
      </c>
    </row>
    <row r="792" ht="15" customHeight="1">
      <c r="A792" t="inlineStr">
        <is>
          <t>A 10626-2025</t>
        </is>
      </c>
      <c r="B792" s="1" t="n">
        <v>45721.63266203704</v>
      </c>
      <c r="C792" s="1" t="n">
        <v>46011</v>
      </c>
      <c r="D792" t="inlineStr">
        <is>
          <t>VÄSTRA GÖTALANDS LÄN</t>
        </is>
      </c>
      <c r="E792" t="inlineStr">
        <is>
          <t>BENGTSFORS</t>
        </is>
      </c>
      <c r="F792" t="inlineStr">
        <is>
          <t>Kommuner</t>
        </is>
      </c>
      <c r="G792" t="n">
        <v>9.6</v>
      </c>
      <c r="H792" t="n">
        <v>1</v>
      </c>
      <c r="I792" t="n">
        <v>0</v>
      </c>
      <c r="J792" t="n">
        <v>0</v>
      </c>
      <c r="K792" t="n">
        <v>0</v>
      </c>
      <c r="L792" t="n">
        <v>0</v>
      </c>
      <c r="M792" t="n">
        <v>0</v>
      </c>
      <c r="N792" t="n">
        <v>0</v>
      </c>
      <c r="O792" t="n">
        <v>0</v>
      </c>
      <c r="P792" t="n">
        <v>0</v>
      </c>
      <c r="Q792" t="n">
        <v>1</v>
      </c>
      <c r="R792" s="2" t="inlineStr">
        <is>
          <t>Revlummer</t>
        </is>
      </c>
      <c r="S792">
        <f>HYPERLINK("https://klasma.github.io/Logging_1460/artfynd/A 10626-2025 artfynd.xlsx", "A 10626-2025")</f>
        <v/>
      </c>
      <c r="T792">
        <f>HYPERLINK("https://klasma.github.io/Logging_1460/kartor/A 10626-2025 karta.png", "A 10626-2025")</f>
        <v/>
      </c>
      <c r="V792">
        <f>HYPERLINK("https://klasma.github.io/Logging_1460/klagomål/A 10626-2025 FSC-klagomål.docx", "A 10626-2025")</f>
        <v/>
      </c>
      <c r="W792">
        <f>HYPERLINK("https://klasma.github.io/Logging_1460/klagomålsmail/A 10626-2025 FSC-klagomål mail.docx", "A 10626-2025")</f>
        <v/>
      </c>
      <c r="X792">
        <f>HYPERLINK("https://klasma.github.io/Logging_1460/tillsyn/A 10626-2025 tillsynsbegäran.docx", "A 10626-2025")</f>
        <v/>
      </c>
      <c r="Y792">
        <f>HYPERLINK("https://klasma.github.io/Logging_1460/tillsynsmail/A 10626-2025 tillsynsbegäran mail.docx", "A 10626-2025")</f>
        <v/>
      </c>
    </row>
    <row r="793" ht="15" customHeight="1">
      <c r="A793" t="inlineStr">
        <is>
          <t>A 23756-2025</t>
        </is>
      </c>
      <c r="B793" s="1" t="n">
        <v>45793.45925925926</v>
      </c>
      <c r="C793" s="1" t="n">
        <v>46011</v>
      </c>
      <c r="D793" t="inlineStr">
        <is>
          <t>VÄSTRA GÖTALANDS LÄN</t>
        </is>
      </c>
      <c r="E793" t="inlineStr">
        <is>
          <t>BORÅS</t>
        </is>
      </c>
      <c r="G793" t="n">
        <v>1.9</v>
      </c>
      <c r="H793" t="n">
        <v>1</v>
      </c>
      <c r="I793" t="n">
        <v>0</v>
      </c>
      <c r="J793" t="n">
        <v>1</v>
      </c>
      <c r="K793" t="n">
        <v>0</v>
      </c>
      <c r="L793" t="n">
        <v>0</v>
      </c>
      <c r="M793" t="n">
        <v>0</v>
      </c>
      <c r="N793" t="n">
        <v>0</v>
      </c>
      <c r="O793" t="n">
        <v>1</v>
      </c>
      <c r="P793" t="n">
        <v>0</v>
      </c>
      <c r="Q793" t="n">
        <v>1</v>
      </c>
      <c r="R793" s="2" t="inlineStr">
        <is>
          <t>Gulsparv</t>
        </is>
      </c>
      <c r="S793">
        <f>HYPERLINK("https://klasma.github.io/Logging_1490/artfynd/A 23756-2025 artfynd.xlsx", "A 23756-2025")</f>
        <v/>
      </c>
      <c r="T793">
        <f>HYPERLINK("https://klasma.github.io/Logging_1490/kartor/A 23756-2025 karta.png", "A 23756-2025")</f>
        <v/>
      </c>
      <c r="V793">
        <f>HYPERLINK("https://klasma.github.io/Logging_1490/klagomål/A 23756-2025 FSC-klagomål.docx", "A 23756-2025")</f>
        <v/>
      </c>
      <c r="W793">
        <f>HYPERLINK("https://klasma.github.io/Logging_1490/klagomålsmail/A 23756-2025 FSC-klagomål mail.docx", "A 23756-2025")</f>
        <v/>
      </c>
      <c r="X793">
        <f>HYPERLINK("https://klasma.github.io/Logging_1490/tillsyn/A 23756-2025 tillsynsbegäran.docx", "A 23756-2025")</f>
        <v/>
      </c>
      <c r="Y793">
        <f>HYPERLINK("https://klasma.github.io/Logging_1490/tillsynsmail/A 23756-2025 tillsynsbegäran mail.docx", "A 23756-2025")</f>
        <v/>
      </c>
      <c r="Z793">
        <f>HYPERLINK("https://klasma.github.io/Logging_1490/fåglar/A 23756-2025 prioriterade fågelarter.docx", "A 23756-2025")</f>
        <v/>
      </c>
    </row>
    <row r="794" ht="15" customHeight="1">
      <c r="A794" t="inlineStr">
        <is>
          <t>A 19981-2021</t>
        </is>
      </c>
      <c r="B794" s="1" t="n">
        <v>44313.68344907407</v>
      </c>
      <c r="C794" s="1" t="n">
        <v>46011</v>
      </c>
      <c r="D794" t="inlineStr">
        <is>
          <t>VÄSTRA GÖTALANDS LÄN</t>
        </is>
      </c>
      <c r="E794" t="inlineStr">
        <is>
          <t>MARK</t>
        </is>
      </c>
      <c r="G794" t="n">
        <v>5.4</v>
      </c>
      <c r="H794" t="n">
        <v>0</v>
      </c>
      <c r="I794" t="n">
        <v>0</v>
      </c>
      <c r="J794" t="n">
        <v>0</v>
      </c>
      <c r="K794" t="n">
        <v>0</v>
      </c>
      <c r="L794" t="n">
        <v>0</v>
      </c>
      <c r="M794" t="n">
        <v>0</v>
      </c>
      <c r="N794" t="n">
        <v>0</v>
      </c>
      <c r="O794" t="n">
        <v>0</v>
      </c>
      <c r="P794" t="n">
        <v>0</v>
      </c>
      <c r="Q794" t="n">
        <v>0</v>
      </c>
      <c r="R794" s="2" t="inlineStr"/>
    </row>
    <row r="795" ht="15" customHeight="1">
      <c r="A795" t="inlineStr">
        <is>
          <t>A 42437-2022</t>
        </is>
      </c>
      <c r="B795" s="1" t="n">
        <v>44831</v>
      </c>
      <c r="C795" s="1" t="n">
        <v>46011</v>
      </c>
      <c r="D795" t="inlineStr">
        <is>
          <t>VÄSTRA GÖTALANDS LÄN</t>
        </is>
      </c>
      <c r="E795" t="inlineStr">
        <is>
          <t>ÅMÅL</t>
        </is>
      </c>
      <c r="G795" t="n">
        <v>2.7</v>
      </c>
      <c r="H795" t="n">
        <v>0</v>
      </c>
      <c r="I795" t="n">
        <v>0</v>
      </c>
      <c r="J795" t="n">
        <v>0</v>
      </c>
      <c r="K795" t="n">
        <v>0</v>
      </c>
      <c r="L795" t="n">
        <v>0</v>
      </c>
      <c r="M795" t="n">
        <v>0</v>
      </c>
      <c r="N795" t="n">
        <v>0</v>
      </c>
      <c r="O795" t="n">
        <v>0</v>
      </c>
      <c r="P795" t="n">
        <v>0</v>
      </c>
      <c r="Q795" t="n">
        <v>0</v>
      </c>
      <c r="R795" s="2" t="inlineStr"/>
    </row>
    <row r="796" ht="15" customHeight="1">
      <c r="A796" t="inlineStr">
        <is>
          <t>A 38384-2022</t>
        </is>
      </c>
      <c r="B796" s="1" t="n">
        <v>44812</v>
      </c>
      <c r="C796" s="1" t="n">
        <v>46011</v>
      </c>
      <c r="D796" t="inlineStr">
        <is>
          <t>VÄSTRA GÖTALANDS LÄN</t>
        </is>
      </c>
      <c r="E796" t="inlineStr">
        <is>
          <t>LILLA EDET</t>
        </is>
      </c>
      <c r="G796" t="n">
        <v>0.3</v>
      </c>
      <c r="H796" t="n">
        <v>0</v>
      </c>
      <c r="I796" t="n">
        <v>0</v>
      </c>
      <c r="J796" t="n">
        <v>0</v>
      </c>
      <c r="K796" t="n">
        <v>0</v>
      </c>
      <c r="L796" t="n">
        <v>0</v>
      </c>
      <c r="M796" t="n">
        <v>0</v>
      </c>
      <c r="N796" t="n">
        <v>0</v>
      </c>
      <c r="O796" t="n">
        <v>0</v>
      </c>
      <c r="P796" t="n">
        <v>0</v>
      </c>
      <c r="Q796" t="n">
        <v>0</v>
      </c>
      <c r="R796" s="2" t="inlineStr"/>
    </row>
    <row r="797" ht="15" customHeight="1">
      <c r="A797" t="inlineStr">
        <is>
          <t>A 19473-2022</t>
        </is>
      </c>
      <c r="B797" s="1" t="n">
        <v>44693</v>
      </c>
      <c r="C797" s="1" t="n">
        <v>46011</v>
      </c>
      <c r="D797" t="inlineStr">
        <is>
          <t>VÄSTRA GÖTALANDS LÄN</t>
        </is>
      </c>
      <c r="E797" t="inlineStr">
        <is>
          <t>VÅRGÅRDA</t>
        </is>
      </c>
      <c r="G797" t="n">
        <v>2.1</v>
      </c>
      <c r="H797" t="n">
        <v>0</v>
      </c>
      <c r="I797" t="n">
        <v>0</v>
      </c>
      <c r="J797" t="n">
        <v>0</v>
      </c>
      <c r="K797" t="n">
        <v>0</v>
      </c>
      <c r="L797" t="n">
        <v>0</v>
      </c>
      <c r="M797" t="n">
        <v>0</v>
      </c>
      <c r="N797" t="n">
        <v>0</v>
      </c>
      <c r="O797" t="n">
        <v>0</v>
      </c>
      <c r="P797" t="n">
        <v>0</v>
      </c>
      <c r="Q797" t="n">
        <v>0</v>
      </c>
      <c r="R797" s="2" t="inlineStr"/>
    </row>
    <row r="798" ht="15" customHeight="1">
      <c r="A798" t="inlineStr">
        <is>
          <t>A 53261-2022</t>
        </is>
      </c>
      <c r="B798" s="1" t="n">
        <v>44876.75724537037</v>
      </c>
      <c r="C798" s="1" t="n">
        <v>46011</v>
      </c>
      <c r="D798" t="inlineStr">
        <is>
          <t>VÄSTRA GÖTALANDS LÄN</t>
        </is>
      </c>
      <c r="E798" t="inlineStr">
        <is>
          <t>HERRLJUNGA</t>
        </is>
      </c>
      <c r="G798" t="n">
        <v>2.3</v>
      </c>
      <c r="H798" t="n">
        <v>0</v>
      </c>
      <c r="I798" t="n">
        <v>0</v>
      </c>
      <c r="J798" t="n">
        <v>0</v>
      </c>
      <c r="K798" t="n">
        <v>0</v>
      </c>
      <c r="L798" t="n">
        <v>0</v>
      </c>
      <c r="M798" t="n">
        <v>0</v>
      </c>
      <c r="N798" t="n">
        <v>0</v>
      </c>
      <c r="O798" t="n">
        <v>0</v>
      </c>
      <c r="P798" t="n">
        <v>0</v>
      </c>
      <c r="Q798" t="n">
        <v>0</v>
      </c>
      <c r="R798" s="2" t="inlineStr"/>
    </row>
    <row r="799" ht="15" customHeight="1">
      <c r="A799" t="inlineStr">
        <is>
          <t>A 21061-2021</t>
        </is>
      </c>
      <c r="B799" s="1" t="n">
        <v>44319.66627314815</v>
      </c>
      <c r="C799" s="1" t="n">
        <v>46011</v>
      </c>
      <c r="D799" t="inlineStr">
        <is>
          <t>VÄSTRA GÖTALANDS LÄN</t>
        </is>
      </c>
      <c r="E799" t="inlineStr">
        <is>
          <t>SKARA</t>
        </is>
      </c>
      <c r="G799" t="n">
        <v>7.8</v>
      </c>
      <c r="H799" t="n">
        <v>0</v>
      </c>
      <c r="I799" t="n">
        <v>0</v>
      </c>
      <c r="J799" t="n">
        <v>0</v>
      </c>
      <c r="K799" t="n">
        <v>0</v>
      </c>
      <c r="L799" t="n">
        <v>0</v>
      </c>
      <c r="M799" t="n">
        <v>0</v>
      </c>
      <c r="N799" t="n">
        <v>0</v>
      </c>
      <c r="O799" t="n">
        <v>0</v>
      </c>
      <c r="P799" t="n">
        <v>0</v>
      </c>
      <c r="Q799" t="n">
        <v>0</v>
      </c>
      <c r="R799" s="2" t="inlineStr"/>
    </row>
    <row r="800" ht="15" customHeight="1">
      <c r="A800" t="inlineStr">
        <is>
          <t>A 3581-2021</t>
        </is>
      </c>
      <c r="B800" s="1" t="n">
        <v>44220</v>
      </c>
      <c r="C800" s="1" t="n">
        <v>46011</v>
      </c>
      <c r="D800" t="inlineStr">
        <is>
          <t>VÄSTRA GÖTALANDS LÄN</t>
        </is>
      </c>
      <c r="E800" t="inlineStr">
        <is>
          <t>TIDAHOLM</t>
        </is>
      </c>
      <c r="G800" t="n">
        <v>1.3</v>
      </c>
      <c r="H800" t="n">
        <v>0</v>
      </c>
      <c r="I800" t="n">
        <v>0</v>
      </c>
      <c r="J800" t="n">
        <v>0</v>
      </c>
      <c r="K800" t="n">
        <v>0</v>
      </c>
      <c r="L800" t="n">
        <v>0</v>
      </c>
      <c r="M800" t="n">
        <v>0</v>
      </c>
      <c r="N800" t="n">
        <v>0</v>
      </c>
      <c r="O800" t="n">
        <v>0</v>
      </c>
      <c r="P800" t="n">
        <v>0</v>
      </c>
      <c r="Q800" t="n">
        <v>0</v>
      </c>
      <c r="R800" s="2" t="inlineStr"/>
    </row>
    <row r="801" ht="15" customHeight="1">
      <c r="A801" t="inlineStr">
        <is>
          <t>A 4572-2021</t>
        </is>
      </c>
      <c r="B801" s="1" t="n">
        <v>44224</v>
      </c>
      <c r="C801" s="1" t="n">
        <v>46011</v>
      </c>
      <c r="D801" t="inlineStr">
        <is>
          <t>VÄSTRA GÖTALANDS LÄN</t>
        </is>
      </c>
      <c r="E801" t="inlineStr">
        <is>
          <t>BORÅS</t>
        </is>
      </c>
      <c r="G801" t="n">
        <v>0.2</v>
      </c>
      <c r="H801" t="n">
        <v>0</v>
      </c>
      <c r="I801" t="n">
        <v>0</v>
      </c>
      <c r="J801" t="n">
        <v>0</v>
      </c>
      <c r="K801" t="n">
        <v>0</v>
      </c>
      <c r="L801" t="n">
        <v>0</v>
      </c>
      <c r="M801" t="n">
        <v>0</v>
      </c>
      <c r="N801" t="n">
        <v>0</v>
      </c>
      <c r="O801" t="n">
        <v>0</v>
      </c>
      <c r="P801" t="n">
        <v>0</v>
      </c>
      <c r="Q801" t="n">
        <v>0</v>
      </c>
      <c r="R801" s="2" t="inlineStr"/>
    </row>
    <row r="802" ht="15" customHeight="1">
      <c r="A802" t="inlineStr">
        <is>
          <t>A 1574-2021</t>
        </is>
      </c>
      <c r="B802" s="1" t="n">
        <v>44209</v>
      </c>
      <c r="C802" s="1" t="n">
        <v>46011</v>
      </c>
      <c r="D802" t="inlineStr">
        <is>
          <t>VÄSTRA GÖTALANDS LÄN</t>
        </is>
      </c>
      <c r="E802" t="inlineStr">
        <is>
          <t>LILLA EDET</t>
        </is>
      </c>
      <c r="G802" t="n">
        <v>4.3</v>
      </c>
      <c r="H802" t="n">
        <v>0</v>
      </c>
      <c r="I802" t="n">
        <v>0</v>
      </c>
      <c r="J802" t="n">
        <v>0</v>
      </c>
      <c r="K802" t="n">
        <v>0</v>
      </c>
      <c r="L802" t="n">
        <v>0</v>
      </c>
      <c r="M802" t="n">
        <v>0</v>
      </c>
      <c r="N802" t="n">
        <v>0</v>
      </c>
      <c r="O802" t="n">
        <v>0</v>
      </c>
      <c r="P802" t="n">
        <v>0</v>
      </c>
      <c r="Q802" t="n">
        <v>0</v>
      </c>
      <c r="R802" s="2" t="inlineStr"/>
    </row>
    <row r="803" ht="15" customHeight="1">
      <c r="A803" t="inlineStr">
        <is>
          <t>A 5281-2021</t>
        </is>
      </c>
      <c r="B803" s="1" t="n">
        <v>44229</v>
      </c>
      <c r="C803" s="1" t="n">
        <v>46011</v>
      </c>
      <c r="D803" t="inlineStr">
        <is>
          <t>VÄSTRA GÖTALANDS LÄN</t>
        </is>
      </c>
      <c r="E803" t="inlineStr">
        <is>
          <t>SVENLJUNGA</t>
        </is>
      </c>
      <c r="G803" t="n">
        <v>1.3</v>
      </c>
      <c r="H803" t="n">
        <v>0</v>
      </c>
      <c r="I803" t="n">
        <v>0</v>
      </c>
      <c r="J803" t="n">
        <v>0</v>
      </c>
      <c r="K803" t="n">
        <v>0</v>
      </c>
      <c r="L803" t="n">
        <v>0</v>
      </c>
      <c r="M803" t="n">
        <v>0</v>
      </c>
      <c r="N803" t="n">
        <v>0</v>
      </c>
      <c r="O803" t="n">
        <v>0</v>
      </c>
      <c r="P803" t="n">
        <v>0</v>
      </c>
      <c r="Q803" t="n">
        <v>0</v>
      </c>
      <c r="R803" s="2" t="inlineStr"/>
    </row>
    <row r="804" ht="15" customHeight="1">
      <c r="A804" t="inlineStr">
        <is>
          <t>A 54234-2022</t>
        </is>
      </c>
      <c r="B804" s="1" t="n">
        <v>44881</v>
      </c>
      <c r="C804" s="1" t="n">
        <v>46011</v>
      </c>
      <c r="D804" t="inlineStr">
        <is>
          <t>VÄSTRA GÖTALANDS LÄN</t>
        </is>
      </c>
      <c r="E804" t="inlineStr">
        <is>
          <t>GULLSPÅNG</t>
        </is>
      </c>
      <c r="G804" t="n">
        <v>1.4</v>
      </c>
      <c r="H804" t="n">
        <v>0</v>
      </c>
      <c r="I804" t="n">
        <v>0</v>
      </c>
      <c r="J804" t="n">
        <v>0</v>
      </c>
      <c r="K804" t="n">
        <v>0</v>
      </c>
      <c r="L804" t="n">
        <v>0</v>
      </c>
      <c r="M804" t="n">
        <v>0</v>
      </c>
      <c r="N804" t="n">
        <v>0</v>
      </c>
      <c r="O804" t="n">
        <v>0</v>
      </c>
      <c r="P804" t="n">
        <v>0</v>
      </c>
      <c r="Q804" t="n">
        <v>0</v>
      </c>
      <c r="R804" s="2" t="inlineStr"/>
    </row>
    <row r="805" ht="15" customHeight="1">
      <c r="A805" t="inlineStr">
        <is>
          <t>A 52982-2022</t>
        </is>
      </c>
      <c r="B805" s="1" t="n">
        <v>44875</v>
      </c>
      <c r="C805" s="1" t="n">
        <v>46011</v>
      </c>
      <c r="D805" t="inlineStr">
        <is>
          <t>VÄSTRA GÖTALANDS LÄN</t>
        </is>
      </c>
      <c r="E805" t="inlineStr">
        <is>
          <t>VARA</t>
        </is>
      </c>
      <c r="G805" t="n">
        <v>3.6</v>
      </c>
      <c r="H805" t="n">
        <v>0</v>
      </c>
      <c r="I805" t="n">
        <v>0</v>
      </c>
      <c r="J805" t="n">
        <v>0</v>
      </c>
      <c r="K805" t="n">
        <v>0</v>
      </c>
      <c r="L805" t="n">
        <v>0</v>
      </c>
      <c r="M805" t="n">
        <v>0</v>
      </c>
      <c r="N805" t="n">
        <v>0</v>
      </c>
      <c r="O805" t="n">
        <v>0</v>
      </c>
      <c r="P805" t="n">
        <v>0</v>
      </c>
      <c r="Q805" t="n">
        <v>0</v>
      </c>
      <c r="R805" s="2" t="inlineStr"/>
    </row>
    <row r="806" ht="15" customHeight="1">
      <c r="A806" t="inlineStr">
        <is>
          <t>A 7398-2021</t>
        </is>
      </c>
      <c r="B806" s="1" t="n">
        <v>44239</v>
      </c>
      <c r="C806" s="1" t="n">
        <v>46011</v>
      </c>
      <c r="D806" t="inlineStr">
        <is>
          <t>VÄSTRA GÖTALANDS LÄN</t>
        </is>
      </c>
      <c r="E806" t="inlineStr">
        <is>
          <t>BORÅS</t>
        </is>
      </c>
      <c r="G806" t="n">
        <v>1.8</v>
      </c>
      <c r="H806" t="n">
        <v>0</v>
      </c>
      <c r="I806" t="n">
        <v>0</v>
      </c>
      <c r="J806" t="n">
        <v>0</v>
      </c>
      <c r="K806" t="n">
        <v>0</v>
      </c>
      <c r="L806" t="n">
        <v>0</v>
      </c>
      <c r="M806" t="n">
        <v>0</v>
      </c>
      <c r="N806" t="n">
        <v>0</v>
      </c>
      <c r="O806" t="n">
        <v>0</v>
      </c>
      <c r="P806" t="n">
        <v>0</v>
      </c>
      <c r="Q806" t="n">
        <v>0</v>
      </c>
      <c r="R806" s="2" t="inlineStr"/>
    </row>
    <row r="807" ht="15" customHeight="1">
      <c r="A807" t="inlineStr">
        <is>
          <t>A 54218-2022</t>
        </is>
      </c>
      <c r="B807" s="1" t="n">
        <v>44881.79954861111</v>
      </c>
      <c r="C807" s="1" t="n">
        <v>46011</v>
      </c>
      <c r="D807" t="inlineStr">
        <is>
          <t>VÄSTRA GÖTALANDS LÄN</t>
        </is>
      </c>
      <c r="E807" t="inlineStr">
        <is>
          <t>MARK</t>
        </is>
      </c>
      <c r="G807" t="n">
        <v>0.5</v>
      </c>
      <c r="H807" t="n">
        <v>0</v>
      </c>
      <c r="I807" t="n">
        <v>0</v>
      </c>
      <c r="J807" t="n">
        <v>0</v>
      </c>
      <c r="K807" t="n">
        <v>0</v>
      </c>
      <c r="L807" t="n">
        <v>0</v>
      </c>
      <c r="M807" t="n">
        <v>0</v>
      </c>
      <c r="N807" t="n">
        <v>0</v>
      </c>
      <c r="O807" t="n">
        <v>0</v>
      </c>
      <c r="P807" t="n">
        <v>0</v>
      </c>
      <c r="Q807" t="n">
        <v>0</v>
      </c>
      <c r="R807" s="2" t="inlineStr"/>
    </row>
    <row r="808" ht="15" customHeight="1">
      <c r="A808" t="inlineStr">
        <is>
          <t>A 9361-2021</t>
        </is>
      </c>
      <c r="B808" s="1" t="n">
        <v>44250</v>
      </c>
      <c r="C808" s="1" t="n">
        <v>46011</v>
      </c>
      <c r="D808" t="inlineStr">
        <is>
          <t>VÄSTRA GÖTALANDS LÄN</t>
        </is>
      </c>
      <c r="E808" t="inlineStr">
        <is>
          <t>TANUM</t>
        </is>
      </c>
      <c r="G808" t="n">
        <v>1.4</v>
      </c>
      <c r="H808" t="n">
        <v>0</v>
      </c>
      <c r="I808" t="n">
        <v>0</v>
      </c>
      <c r="J808" t="n">
        <v>0</v>
      </c>
      <c r="K808" t="n">
        <v>0</v>
      </c>
      <c r="L808" t="n">
        <v>0</v>
      </c>
      <c r="M808" t="n">
        <v>0</v>
      </c>
      <c r="N808" t="n">
        <v>0</v>
      </c>
      <c r="O808" t="n">
        <v>0</v>
      </c>
      <c r="P808" t="n">
        <v>0</v>
      </c>
      <c r="Q808" t="n">
        <v>0</v>
      </c>
      <c r="R808" s="2" t="inlineStr"/>
    </row>
    <row r="809" ht="15" customHeight="1">
      <c r="A809" t="inlineStr">
        <is>
          <t>A 5720-2021</t>
        </is>
      </c>
      <c r="B809" s="1" t="n">
        <v>44229</v>
      </c>
      <c r="C809" s="1" t="n">
        <v>46011</v>
      </c>
      <c r="D809" t="inlineStr">
        <is>
          <t>VÄSTRA GÖTALANDS LÄN</t>
        </is>
      </c>
      <c r="E809" t="inlineStr">
        <is>
          <t>VÄNERSBORG</t>
        </is>
      </c>
      <c r="G809" t="n">
        <v>1.8</v>
      </c>
      <c r="H809" t="n">
        <v>0</v>
      </c>
      <c r="I809" t="n">
        <v>0</v>
      </c>
      <c r="J809" t="n">
        <v>0</v>
      </c>
      <c r="K809" t="n">
        <v>0</v>
      </c>
      <c r="L809" t="n">
        <v>0</v>
      </c>
      <c r="M809" t="n">
        <v>0</v>
      </c>
      <c r="N809" t="n">
        <v>0</v>
      </c>
      <c r="O809" t="n">
        <v>0</v>
      </c>
      <c r="P809" t="n">
        <v>0</v>
      </c>
      <c r="Q809" t="n">
        <v>0</v>
      </c>
      <c r="R809" s="2" t="inlineStr"/>
    </row>
    <row r="810" ht="15" customHeight="1">
      <c r="A810" t="inlineStr">
        <is>
          <t>A 2817-2021</t>
        </is>
      </c>
      <c r="B810" s="1" t="n">
        <v>44215.86671296296</v>
      </c>
      <c r="C810" s="1" t="n">
        <v>46011</v>
      </c>
      <c r="D810" t="inlineStr">
        <is>
          <t>VÄSTRA GÖTALANDS LÄN</t>
        </is>
      </c>
      <c r="E810" t="inlineStr">
        <is>
          <t>SKÖVDE</t>
        </is>
      </c>
      <c r="G810" t="n">
        <v>2.3</v>
      </c>
      <c r="H810" t="n">
        <v>0</v>
      </c>
      <c r="I810" t="n">
        <v>0</v>
      </c>
      <c r="J810" t="n">
        <v>0</v>
      </c>
      <c r="K810" t="n">
        <v>0</v>
      </c>
      <c r="L810" t="n">
        <v>0</v>
      </c>
      <c r="M810" t="n">
        <v>0</v>
      </c>
      <c r="N810" t="n">
        <v>0</v>
      </c>
      <c r="O810" t="n">
        <v>0</v>
      </c>
      <c r="P810" t="n">
        <v>0</v>
      </c>
      <c r="Q810" t="n">
        <v>0</v>
      </c>
      <c r="R810" s="2" t="inlineStr"/>
    </row>
    <row r="811" ht="15" customHeight="1">
      <c r="A811" t="inlineStr">
        <is>
          <t>A 3481-2021</t>
        </is>
      </c>
      <c r="B811" s="1" t="n">
        <v>44218</v>
      </c>
      <c r="C811" s="1" t="n">
        <v>46011</v>
      </c>
      <c r="D811" t="inlineStr">
        <is>
          <t>VÄSTRA GÖTALANDS LÄN</t>
        </is>
      </c>
      <c r="E811" t="inlineStr">
        <is>
          <t>SKARA</t>
        </is>
      </c>
      <c r="G811" t="n">
        <v>2.2</v>
      </c>
      <c r="H811" t="n">
        <v>0</v>
      </c>
      <c r="I811" t="n">
        <v>0</v>
      </c>
      <c r="J811" t="n">
        <v>0</v>
      </c>
      <c r="K811" t="n">
        <v>0</v>
      </c>
      <c r="L811" t="n">
        <v>0</v>
      </c>
      <c r="M811" t="n">
        <v>0</v>
      </c>
      <c r="N811" t="n">
        <v>0</v>
      </c>
      <c r="O811" t="n">
        <v>0</v>
      </c>
      <c r="P811" t="n">
        <v>0</v>
      </c>
      <c r="Q811" t="n">
        <v>0</v>
      </c>
      <c r="R811" s="2" t="inlineStr"/>
    </row>
    <row r="812" ht="15" customHeight="1">
      <c r="A812" t="inlineStr">
        <is>
          <t>A 5532-2021</t>
        </is>
      </c>
      <c r="B812" s="1" t="n">
        <v>44230</v>
      </c>
      <c r="C812" s="1" t="n">
        <v>46011</v>
      </c>
      <c r="D812" t="inlineStr">
        <is>
          <t>VÄSTRA GÖTALANDS LÄN</t>
        </is>
      </c>
      <c r="E812" t="inlineStr">
        <is>
          <t>DALS-ED</t>
        </is>
      </c>
      <c r="G812" t="n">
        <v>9</v>
      </c>
      <c r="H812" t="n">
        <v>0</v>
      </c>
      <c r="I812" t="n">
        <v>0</v>
      </c>
      <c r="J812" t="n">
        <v>0</v>
      </c>
      <c r="K812" t="n">
        <v>0</v>
      </c>
      <c r="L812" t="n">
        <v>0</v>
      </c>
      <c r="M812" t="n">
        <v>0</v>
      </c>
      <c r="N812" t="n">
        <v>0</v>
      </c>
      <c r="O812" t="n">
        <v>0</v>
      </c>
      <c r="P812" t="n">
        <v>0</v>
      </c>
      <c r="Q812" t="n">
        <v>0</v>
      </c>
      <c r="R812" s="2" t="inlineStr"/>
    </row>
    <row r="813" ht="15" customHeight="1">
      <c r="A813" t="inlineStr">
        <is>
          <t>A 9756-2021</t>
        </is>
      </c>
      <c r="B813" s="1" t="n">
        <v>44252</v>
      </c>
      <c r="C813" s="1" t="n">
        <v>46011</v>
      </c>
      <c r="D813" t="inlineStr">
        <is>
          <t>VÄSTRA GÖTALANDS LÄN</t>
        </is>
      </c>
      <c r="E813" t="inlineStr">
        <is>
          <t>BENGTSFORS</t>
        </is>
      </c>
      <c r="G813" t="n">
        <v>7</v>
      </c>
      <c r="H813" t="n">
        <v>0</v>
      </c>
      <c r="I813" t="n">
        <v>0</v>
      </c>
      <c r="J813" t="n">
        <v>0</v>
      </c>
      <c r="K813" t="n">
        <v>0</v>
      </c>
      <c r="L813" t="n">
        <v>0</v>
      </c>
      <c r="M813" t="n">
        <v>0</v>
      </c>
      <c r="N813" t="n">
        <v>0</v>
      </c>
      <c r="O813" t="n">
        <v>0</v>
      </c>
      <c r="P813" t="n">
        <v>0</v>
      </c>
      <c r="Q813" t="n">
        <v>0</v>
      </c>
      <c r="R813" s="2" t="inlineStr"/>
    </row>
    <row r="814" ht="15" customHeight="1">
      <c r="A814" t="inlineStr">
        <is>
          <t>A 53134-2022</t>
        </is>
      </c>
      <c r="B814" s="1" t="n">
        <v>44876.47261574074</v>
      </c>
      <c r="C814" s="1" t="n">
        <v>46011</v>
      </c>
      <c r="D814" t="inlineStr">
        <is>
          <t>VÄSTRA GÖTALANDS LÄN</t>
        </is>
      </c>
      <c r="E814" t="inlineStr">
        <is>
          <t>TROLLHÄTTAN</t>
        </is>
      </c>
      <c r="G814" t="n">
        <v>0.6</v>
      </c>
      <c r="H814" t="n">
        <v>0</v>
      </c>
      <c r="I814" t="n">
        <v>0</v>
      </c>
      <c r="J814" t="n">
        <v>0</v>
      </c>
      <c r="K814" t="n">
        <v>0</v>
      </c>
      <c r="L814" t="n">
        <v>0</v>
      </c>
      <c r="M814" t="n">
        <v>0</v>
      </c>
      <c r="N814" t="n">
        <v>0</v>
      </c>
      <c r="O814" t="n">
        <v>0</v>
      </c>
      <c r="P814" t="n">
        <v>0</v>
      </c>
      <c r="Q814" t="n">
        <v>0</v>
      </c>
      <c r="R814" s="2" t="inlineStr"/>
    </row>
    <row r="815" ht="15" customHeight="1">
      <c r="A815" t="inlineStr">
        <is>
          <t>A 42774-2022</t>
        </is>
      </c>
      <c r="B815" s="1" t="n">
        <v>44832.50142361111</v>
      </c>
      <c r="C815" s="1" t="n">
        <v>46011</v>
      </c>
      <c r="D815" t="inlineStr">
        <is>
          <t>VÄSTRA GÖTALANDS LÄN</t>
        </is>
      </c>
      <c r="E815" t="inlineStr">
        <is>
          <t>ÅMÅL</t>
        </is>
      </c>
      <c r="G815" t="n">
        <v>5.6</v>
      </c>
      <c r="H815" t="n">
        <v>0</v>
      </c>
      <c r="I815" t="n">
        <v>0</v>
      </c>
      <c r="J815" t="n">
        <v>0</v>
      </c>
      <c r="K815" t="n">
        <v>0</v>
      </c>
      <c r="L815" t="n">
        <v>0</v>
      </c>
      <c r="M815" t="n">
        <v>0</v>
      </c>
      <c r="N815" t="n">
        <v>0</v>
      </c>
      <c r="O815" t="n">
        <v>0</v>
      </c>
      <c r="P815" t="n">
        <v>0</v>
      </c>
      <c r="Q815" t="n">
        <v>0</v>
      </c>
      <c r="R815" s="2" t="inlineStr"/>
    </row>
    <row r="816" ht="15" customHeight="1">
      <c r="A816" t="inlineStr">
        <is>
          <t>A 8001-2021</t>
        </is>
      </c>
      <c r="B816" s="1" t="n">
        <v>44243</v>
      </c>
      <c r="C816" s="1" t="n">
        <v>46011</v>
      </c>
      <c r="D816" t="inlineStr">
        <is>
          <t>VÄSTRA GÖTALANDS LÄN</t>
        </is>
      </c>
      <c r="E816" t="inlineStr">
        <is>
          <t>HÄRRYDA</t>
        </is>
      </c>
      <c r="G816" t="n">
        <v>4.3</v>
      </c>
      <c r="H816" t="n">
        <v>0</v>
      </c>
      <c r="I816" t="n">
        <v>0</v>
      </c>
      <c r="J816" t="n">
        <v>0</v>
      </c>
      <c r="K816" t="n">
        <v>0</v>
      </c>
      <c r="L816" t="n">
        <v>0</v>
      </c>
      <c r="M816" t="n">
        <v>0</v>
      </c>
      <c r="N816" t="n">
        <v>0</v>
      </c>
      <c r="O816" t="n">
        <v>0</v>
      </c>
      <c r="P816" t="n">
        <v>0</v>
      </c>
      <c r="Q816" t="n">
        <v>0</v>
      </c>
      <c r="R816" s="2" t="inlineStr"/>
    </row>
    <row r="817" ht="15" customHeight="1">
      <c r="A817" t="inlineStr">
        <is>
          <t>A 43664-2022</t>
        </is>
      </c>
      <c r="B817" s="1" t="n">
        <v>44837.59271990741</v>
      </c>
      <c r="C817" s="1" t="n">
        <v>46011</v>
      </c>
      <c r="D817" t="inlineStr">
        <is>
          <t>VÄSTRA GÖTALANDS LÄN</t>
        </is>
      </c>
      <c r="E817" t="inlineStr">
        <is>
          <t>FÄRGELANDA</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44356-2022</t>
        </is>
      </c>
      <c r="B818" s="1" t="n">
        <v>44839</v>
      </c>
      <c r="C818" s="1" t="n">
        <v>46011</v>
      </c>
      <c r="D818" t="inlineStr">
        <is>
          <t>VÄSTRA GÖTALANDS LÄN</t>
        </is>
      </c>
      <c r="E818" t="inlineStr">
        <is>
          <t>BENGTSFORS</t>
        </is>
      </c>
      <c r="F818" t="inlineStr">
        <is>
          <t>Kommuner</t>
        </is>
      </c>
      <c r="G818" t="n">
        <v>2.2</v>
      </c>
      <c r="H818" t="n">
        <v>0</v>
      </c>
      <c r="I818" t="n">
        <v>0</v>
      </c>
      <c r="J818" t="n">
        <v>0</v>
      </c>
      <c r="K818" t="n">
        <v>0</v>
      </c>
      <c r="L818" t="n">
        <v>0</v>
      </c>
      <c r="M818" t="n">
        <v>0</v>
      </c>
      <c r="N818" t="n">
        <v>0</v>
      </c>
      <c r="O818" t="n">
        <v>0</v>
      </c>
      <c r="P818" t="n">
        <v>0</v>
      </c>
      <c r="Q818" t="n">
        <v>0</v>
      </c>
      <c r="R818" s="2" t="inlineStr"/>
    </row>
    <row r="819" ht="15" customHeight="1">
      <c r="A819" t="inlineStr">
        <is>
          <t>A 17992-2021</t>
        </is>
      </c>
      <c r="B819" s="1" t="n">
        <v>44301.77314814815</v>
      </c>
      <c r="C819" s="1" t="n">
        <v>46011</v>
      </c>
      <c r="D819" t="inlineStr">
        <is>
          <t>VÄSTRA GÖTALANDS LÄN</t>
        </is>
      </c>
      <c r="E819" t="inlineStr">
        <is>
          <t>HÄRRYDA</t>
        </is>
      </c>
      <c r="G819" t="n">
        <v>0.6</v>
      </c>
      <c r="H819" t="n">
        <v>0</v>
      </c>
      <c r="I819" t="n">
        <v>0</v>
      </c>
      <c r="J819" t="n">
        <v>0</v>
      </c>
      <c r="K819" t="n">
        <v>0</v>
      </c>
      <c r="L819" t="n">
        <v>0</v>
      </c>
      <c r="M819" t="n">
        <v>0</v>
      </c>
      <c r="N819" t="n">
        <v>0</v>
      </c>
      <c r="O819" t="n">
        <v>0</v>
      </c>
      <c r="P819" t="n">
        <v>0</v>
      </c>
      <c r="Q819" t="n">
        <v>0</v>
      </c>
      <c r="R819" s="2" t="inlineStr"/>
    </row>
    <row r="820" ht="15" customHeight="1">
      <c r="A820" t="inlineStr">
        <is>
          <t>A 20362-2021</t>
        </is>
      </c>
      <c r="B820" s="1" t="n">
        <v>44315</v>
      </c>
      <c r="C820" s="1" t="n">
        <v>46011</v>
      </c>
      <c r="D820" t="inlineStr">
        <is>
          <t>VÄSTRA GÖTALANDS LÄN</t>
        </is>
      </c>
      <c r="E820" t="inlineStr">
        <is>
          <t>GÖTENE</t>
        </is>
      </c>
      <c r="G820" t="n">
        <v>4.3</v>
      </c>
      <c r="H820" t="n">
        <v>0</v>
      </c>
      <c r="I820" t="n">
        <v>0</v>
      </c>
      <c r="J820" t="n">
        <v>0</v>
      </c>
      <c r="K820" t="n">
        <v>0</v>
      </c>
      <c r="L820" t="n">
        <v>0</v>
      </c>
      <c r="M820" t="n">
        <v>0</v>
      </c>
      <c r="N820" t="n">
        <v>0</v>
      </c>
      <c r="O820" t="n">
        <v>0</v>
      </c>
      <c r="P820" t="n">
        <v>0</v>
      </c>
      <c r="Q820" t="n">
        <v>0</v>
      </c>
      <c r="R820" s="2" t="inlineStr"/>
    </row>
    <row r="821" ht="15" customHeight="1">
      <c r="A821" t="inlineStr">
        <is>
          <t>A 19235-2021</t>
        </is>
      </c>
      <c r="B821" s="1" t="n">
        <v>44309.35467592593</v>
      </c>
      <c r="C821" s="1" t="n">
        <v>46011</v>
      </c>
      <c r="D821" t="inlineStr">
        <is>
          <t>VÄSTRA GÖTALANDS LÄN</t>
        </is>
      </c>
      <c r="E821" t="inlineStr">
        <is>
          <t>LILLA EDET</t>
        </is>
      </c>
      <c r="G821" t="n">
        <v>5.9</v>
      </c>
      <c r="H821" t="n">
        <v>0</v>
      </c>
      <c r="I821" t="n">
        <v>0</v>
      </c>
      <c r="J821" t="n">
        <v>0</v>
      </c>
      <c r="K821" t="n">
        <v>0</v>
      </c>
      <c r="L821" t="n">
        <v>0</v>
      </c>
      <c r="M821" t="n">
        <v>0</v>
      </c>
      <c r="N821" t="n">
        <v>0</v>
      </c>
      <c r="O821" t="n">
        <v>0</v>
      </c>
      <c r="P821" t="n">
        <v>0</v>
      </c>
      <c r="Q821" t="n">
        <v>0</v>
      </c>
      <c r="R821" s="2" t="inlineStr"/>
    </row>
    <row r="822" ht="15" customHeight="1">
      <c r="A822" t="inlineStr">
        <is>
          <t>A 21281-2021</t>
        </is>
      </c>
      <c r="B822" s="1" t="n">
        <v>44320.61850694445</v>
      </c>
      <c r="C822" s="1" t="n">
        <v>46011</v>
      </c>
      <c r="D822" t="inlineStr">
        <is>
          <t>VÄSTRA GÖTALANDS LÄN</t>
        </is>
      </c>
      <c r="E822" t="inlineStr">
        <is>
          <t>ALE</t>
        </is>
      </c>
      <c r="G822" t="n">
        <v>1.4</v>
      </c>
      <c r="H822" t="n">
        <v>0</v>
      </c>
      <c r="I822" t="n">
        <v>0</v>
      </c>
      <c r="J822" t="n">
        <v>0</v>
      </c>
      <c r="K822" t="n">
        <v>0</v>
      </c>
      <c r="L822" t="n">
        <v>0</v>
      </c>
      <c r="M822" t="n">
        <v>0</v>
      </c>
      <c r="N822" t="n">
        <v>0</v>
      </c>
      <c r="O822" t="n">
        <v>0</v>
      </c>
      <c r="P822" t="n">
        <v>0</v>
      </c>
      <c r="Q822" t="n">
        <v>0</v>
      </c>
      <c r="R822" s="2" t="inlineStr"/>
    </row>
    <row r="823" ht="15" customHeight="1">
      <c r="A823" t="inlineStr">
        <is>
          <t>A 18620-2021</t>
        </is>
      </c>
      <c r="B823" s="1" t="n">
        <v>44306</v>
      </c>
      <c r="C823" s="1" t="n">
        <v>46011</v>
      </c>
      <c r="D823" t="inlineStr">
        <is>
          <t>VÄSTRA GÖTALANDS LÄN</t>
        </is>
      </c>
      <c r="E823" t="inlineStr">
        <is>
          <t>BENGTSFORS</t>
        </is>
      </c>
      <c r="G823" t="n">
        <v>4</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46011</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20943-2021</t>
        </is>
      </c>
      <c r="B825" s="1" t="n">
        <v>44319.51872685185</v>
      </c>
      <c r="C825" s="1" t="n">
        <v>46011</v>
      </c>
      <c r="D825" t="inlineStr">
        <is>
          <t>VÄSTRA GÖTALANDS LÄN</t>
        </is>
      </c>
      <c r="E825" t="inlineStr">
        <is>
          <t>TÖREBODA</t>
        </is>
      </c>
      <c r="G825" t="n">
        <v>1.1</v>
      </c>
      <c r="H825" t="n">
        <v>0</v>
      </c>
      <c r="I825" t="n">
        <v>0</v>
      </c>
      <c r="J825" t="n">
        <v>0</v>
      </c>
      <c r="K825" t="n">
        <v>0</v>
      </c>
      <c r="L825" t="n">
        <v>0</v>
      </c>
      <c r="M825" t="n">
        <v>0</v>
      </c>
      <c r="N825" t="n">
        <v>0</v>
      </c>
      <c r="O825" t="n">
        <v>0</v>
      </c>
      <c r="P825" t="n">
        <v>0</v>
      </c>
      <c r="Q825" t="n">
        <v>0</v>
      </c>
      <c r="R825" s="2" t="inlineStr"/>
    </row>
    <row r="826" ht="15" customHeight="1">
      <c r="A826" t="inlineStr">
        <is>
          <t>A 21321-2021</t>
        </is>
      </c>
      <c r="B826" s="1" t="n">
        <v>44320</v>
      </c>
      <c r="C826" s="1" t="n">
        <v>46011</v>
      </c>
      <c r="D826" t="inlineStr">
        <is>
          <t>VÄSTRA GÖTALANDS LÄN</t>
        </is>
      </c>
      <c r="E826" t="inlineStr">
        <is>
          <t>TIBRO</t>
        </is>
      </c>
      <c r="G826" t="n">
        <v>3.9</v>
      </c>
      <c r="H826" t="n">
        <v>0</v>
      </c>
      <c r="I826" t="n">
        <v>0</v>
      </c>
      <c r="J826" t="n">
        <v>0</v>
      </c>
      <c r="K826" t="n">
        <v>0</v>
      </c>
      <c r="L826" t="n">
        <v>0</v>
      </c>
      <c r="M826" t="n">
        <v>0</v>
      </c>
      <c r="N826" t="n">
        <v>0</v>
      </c>
      <c r="O826" t="n">
        <v>0</v>
      </c>
      <c r="P826" t="n">
        <v>0</v>
      </c>
      <c r="Q826" t="n">
        <v>0</v>
      </c>
      <c r="R826" s="2" t="inlineStr"/>
    </row>
    <row r="827" ht="15" customHeight="1">
      <c r="A827" t="inlineStr">
        <is>
          <t>A 56037-2022</t>
        </is>
      </c>
      <c r="B827" s="1" t="n">
        <v>44889.55938657407</v>
      </c>
      <c r="C827" s="1" t="n">
        <v>46011</v>
      </c>
      <c r="D827" t="inlineStr">
        <is>
          <t>VÄSTRA GÖTALANDS LÄN</t>
        </is>
      </c>
      <c r="E827" t="inlineStr">
        <is>
          <t>MUNKEDAL</t>
        </is>
      </c>
      <c r="G827" t="n">
        <v>5</v>
      </c>
      <c r="H827" t="n">
        <v>0</v>
      </c>
      <c r="I827" t="n">
        <v>0</v>
      </c>
      <c r="J827" t="n">
        <v>0</v>
      </c>
      <c r="K827" t="n">
        <v>0</v>
      </c>
      <c r="L827" t="n">
        <v>0</v>
      </c>
      <c r="M827" t="n">
        <v>0</v>
      </c>
      <c r="N827" t="n">
        <v>0</v>
      </c>
      <c r="O827" t="n">
        <v>0</v>
      </c>
      <c r="P827" t="n">
        <v>0</v>
      </c>
      <c r="Q827" t="n">
        <v>0</v>
      </c>
      <c r="R827" s="2" t="inlineStr"/>
    </row>
    <row r="828" ht="15" customHeight="1">
      <c r="A828" t="inlineStr">
        <is>
          <t>A 9362-2021</t>
        </is>
      </c>
      <c r="B828" s="1" t="n">
        <v>44250</v>
      </c>
      <c r="C828" s="1" t="n">
        <v>46011</v>
      </c>
      <c r="D828" t="inlineStr">
        <is>
          <t>VÄSTRA GÖTALANDS LÄN</t>
        </is>
      </c>
      <c r="E828" t="inlineStr">
        <is>
          <t>TANUM</t>
        </is>
      </c>
      <c r="G828" t="n">
        <v>1</v>
      </c>
      <c r="H828" t="n">
        <v>0</v>
      </c>
      <c r="I828" t="n">
        <v>0</v>
      </c>
      <c r="J828" t="n">
        <v>0</v>
      </c>
      <c r="K828" t="n">
        <v>0</v>
      </c>
      <c r="L828" t="n">
        <v>0</v>
      </c>
      <c r="M828" t="n">
        <v>0</v>
      </c>
      <c r="N828" t="n">
        <v>0</v>
      </c>
      <c r="O828" t="n">
        <v>0</v>
      </c>
      <c r="P828" t="n">
        <v>0</v>
      </c>
      <c r="Q828" t="n">
        <v>0</v>
      </c>
      <c r="R828" s="2" t="inlineStr"/>
    </row>
    <row r="829" ht="15" customHeight="1">
      <c r="A829" t="inlineStr">
        <is>
          <t>A 7819-2021</t>
        </is>
      </c>
      <c r="B829" s="1" t="n">
        <v>44242</v>
      </c>
      <c r="C829" s="1" t="n">
        <v>46011</v>
      </c>
      <c r="D829" t="inlineStr">
        <is>
          <t>VÄSTRA GÖTALANDS LÄN</t>
        </is>
      </c>
      <c r="E829" t="inlineStr">
        <is>
          <t>FÄRGELANDA</t>
        </is>
      </c>
      <c r="G829" t="n">
        <v>13.4</v>
      </c>
      <c r="H829" t="n">
        <v>0</v>
      </c>
      <c r="I829" t="n">
        <v>0</v>
      </c>
      <c r="J829" t="n">
        <v>0</v>
      </c>
      <c r="K829" t="n">
        <v>0</v>
      </c>
      <c r="L829" t="n">
        <v>0</v>
      </c>
      <c r="M829" t="n">
        <v>0</v>
      </c>
      <c r="N829" t="n">
        <v>0</v>
      </c>
      <c r="O829" t="n">
        <v>0</v>
      </c>
      <c r="P829" t="n">
        <v>0</v>
      </c>
      <c r="Q829" t="n">
        <v>0</v>
      </c>
      <c r="R829" s="2" t="inlineStr"/>
    </row>
    <row r="830" ht="15" customHeight="1">
      <c r="A830" t="inlineStr">
        <is>
          <t>A 21650-2021</t>
        </is>
      </c>
      <c r="B830" s="1" t="n">
        <v>44322.32700231481</v>
      </c>
      <c r="C830" s="1" t="n">
        <v>46011</v>
      </c>
      <c r="D830" t="inlineStr">
        <is>
          <t>VÄSTRA GÖTALANDS LÄN</t>
        </is>
      </c>
      <c r="E830" t="inlineStr">
        <is>
          <t>TROLLHÄTTAN</t>
        </is>
      </c>
      <c r="G830" t="n">
        <v>3.7</v>
      </c>
      <c r="H830" t="n">
        <v>0</v>
      </c>
      <c r="I830" t="n">
        <v>0</v>
      </c>
      <c r="J830" t="n">
        <v>0</v>
      </c>
      <c r="K830" t="n">
        <v>0</v>
      </c>
      <c r="L830" t="n">
        <v>0</v>
      </c>
      <c r="M830" t="n">
        <v>0</v>
      </c>
      <c r="N830" t="n">
        <v>0</v>
      </c>
      <c r="O830" t="n">
        <v>0</v>
      </c>
      <c r="P830" t="n">
        <v>0</v>
      </c>
      <c r="Q830" t="n">
        <v>0</v>
      </c>
      <c r="R830" s="2" t="inlineStr"/>
    </row>
    <row r="831" ht="15" customHeight="1">
      <c r="A831" t="inlineStr">
        <is>
          <t>A 68883-2020</t>
        </is>
      </c>
      <c r="B831" s="1" t="n">
        <v>44187</v>
      </c>
      <c r="C831" s="1" t="n">
        <v>46011</v>
      </c>
      <c r="D831" t="inlineStr">
        <is>
          <t>VÄSTRA GÖTALANDS LÄN</t>
        </is>
      </c>
      <c r="E831" t="inlineStr">
        <is>
          <t>SVENLJUNGA</t>
        </is>
      </c>
      <c r="G831" t="n">
        <v>1.2</v>
      </c>
      <c r="H831" t="n">
        <v>0</v>
      </c>
      <c r="I831" t="n">
        <v>0</v>
      </c>
      <c r="J831" t="n">
        <v>0</v>
      </c>
      <c r="K831" t="n">
        <v>0</v>
      </c>
      <c r="L831" t="n">
        <v>0</v>
      </c>
      <c r="M831" t="n">
        <v>0</v>
      </c>
      <c r="N831" t="n">
        <v>0</v>
      </c>
      <c r="O831" t="n">
        <v>0</v>
      </c>
      <c r="P831" t="n">
        <v>0</v>
      </c>
      <c r="Q831" t="n">
        <v>0</v>
      </c>
      <c r="R831" s="2" t="inlineStr"/>
    </row>
    <row r="832" ht="15" customHeight="1">
      <c r="A832" t="inlineStr">
        <is>
          <t>A 11987-2021</t>
        </is>
      </c>
      <c r="B832" s="1" t="n">
        <v>44266</v>
      </c>
      <c r="C832" s="1" t="n">
        <v>46011</v>
      </c>
      <c r="D832" t="inlineStr">
        <is>
          <t>VÄSTRA GÖTALANDS LÄN</t>
        </is>
      </c>
      <c r="E832" t="inlineStr">
        <is>
          <t>ALINGSÅS</t>
        </is>
      </c>
      <c r="G832" t="n">
        <v>5.5</v>
      </c>
      <c r="H832" t="n">
        <v>0</v>
      </c>
      <c r="I832" t="n">
        <v>0</v>
      </c>
      <c r="J832" t="n">
        <v>0</v>
      </c>
      <c r="K832" t="n">
        <v>0</v>
      </c>
      <c r="L832" t="n">
        <v>0</v>
      </c>
      <c r="M832" t="n">
        <v>0</v>
      </c>
      <c r="N832" t="n">
        <v>0</v>
      </c>
      <c r="O832" t="n">
        <v>0</v>
      </c>
      <c r="P832" t="n">
        <v>0</v>
      </c>
      <c r="Q832" t="n">
        <v>0</v>
      </c>
      <c r="R832" s="2" t="inlineStr"/>
    </row>
    <row r="833" ht="15" customHeight="1">
      <c r="A833" t="inlineStr">
        <is>
          <t>A 1009-2021</t>
        </is>
      </c>
      <c r="B833" s="1" t="n">
        <v>44204</v>
      </c>
      <c r="C833" s="1" t="n">
        <v>46011</v>
      </c>
      <c r="D833" t="inlineStr">
        <is>
          <t>VÄSTRA GÖTALANDS LÄN</t>
        </is>
      </c>
      <c r="E833" t="inlineStr">
        <is>
          <t>MARK</t>
        </is>
      </c>
      <c r="G833" t="n">
        <v>3.6</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46011</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68451-2020</t>
        </is>
      </c>
      <c r="B835" s="1" t="n">
        <v>44186</v>
      </c>
      <c r="C835" s="1" t="n">
        <v>46011</v>
      </c>
      <c r="D835" t="inlineStr">
        <is>
          <t>VÄSTRA GÖTALANDS LÄN</t>
        </is>
      </c>
      <c r="E835" t="inlineStr">
        <is>
          <t>TIDAHOLM</t>
        </is>
      </c>
      <c r="G835" t="n">
        <v>1.1</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46011</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46011</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46011</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46011</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46011</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46011</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46011</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46011</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46011</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12695-2021</t>
        </is>
      </c>
      <c r="B845" s="1" t="n">
        <v>44270</v>
      </c>
      <c r="C845" s="1" t="n">
        <v>46011</v>
      </c>
      <c r="D845" t="inlineStr">
        <is>
          <t>VÄSTRA GÖTALANDS LÄN</t>
        </is>
      </c>
      <c r="E845" t="inlineStr">
        <is>
          <t>MELLERUD</t>
        </is>
      </c>
      <c r="G845" t="n">
        <v>1.6</v>
      </c>
      <c r="H845" t="n">
        <v>0</v>
      </c>
      <c r="I845" t="n">
        <v>0</v>
      </c>
      <c r="J845" t="n">
        <v>0</v>
      </c>
      <c r="K845" t="n">
        <v>0</v>
      </c>
      <c r="L845" t="n">
        <v>0</v>
      </c>
      <c r="M845" t="n">
        <v>0</v>
      </c>
      <c r="N845" t="n">
        <v>0</v>
      </c>
      <c r="O845" t="n">
        <v>0</v>
      </c>
      <c r="P845" t="n">
        <v>0</v>
      </c>
      <c r="Q845" t="n">
        <v>0</v>
      </c>
      <c r="R845" s="2" t="inlineStr"/>
    </row>
    <row r="846" ht="15" customHeight="1">
      <c r="A846" t="inlineStr">
        <is>
          <t>A 61629-2021</t>
        </is>
      </c>
      <c r="B846" s="1" t="n">
        <v>44501.50063657408</v>
      </c>
      <c r="C846" s="1" t="n">
        <v>46011</v>
      </c>
      <c r="D846" t="inlineStr">
        <is>
          <t>VÄSTRA GÖTALANDS LÄN</t>
        </is>
      </c>
      <c r="E846" t="inlineStr">
        <is>
          <t>SVENLJUNGA</t>
        </is>
      </c>
      <c r="G846" t="n">
        <v>2.6</v>
      </c>
      <c r="H846" t="n">
        <v>0</v>
      </c>
      <c r="I846" t="n">
        <v>0</v>
      </c>
      <c r="J846" t="n">
        <v>0</v>
      </c>
      <c r="K846" t="n">
        <v>0</v>
      </c>
      <c r="L846" t="n">
        <v>0</v>
      </c>
      <c r="M846" t="n">
        <v>0</v>
      </c>
      <c r="N846" t="n">
        <v>0</v>
      </c>
      <c r="O846" t="n">
        <v>0</v>
      </c>
      <c r="P846" t="n">
        <v>0</v>
      </c>
      <c r="Q846" t="n">
        <v>0</v>
      </c>
      <c r="R846" s="2" t="inlineStr"/>
    </row>
    <row r="847" ht="15" customHeight="1">
      <c r="A847" t="inlineStr">
        <is>
          <t>A 20874-2021</t>
        </is>
      </c>
      <c r="B847" s="1" t="n">
        <v>44319.37167824074</v>
      </c>
      <c r="C847" s="1" t="n">
        <v>46011</v>
      </c>
      <c r="D847" t="inlineStr">
        <is>
          <t>VÄSTRA GÖTALANDS LÄN</t>
        </is>
      </c>
      <c r="E847" t="inlineStr">
        <is>
          <t>ULRICEHAMN</t>
        </is>
      </c>
      <c r="G847" t="n">
        <v>0.1</v>
      </c>
      <c r="H847" t="n">
        <v>0</v>
      </c>
      <c r="I847" t="n">
        <v>0</v>
      </c>
      <c r="J847" t="n">
        <v>0</v>
      </c>
      <c r="K847" t="n">
        <v>0</v>
      </c>
      <c r="L847" t="n">
        <v>0</v>
      </c>
      <c r="M847" t="n">
        <v>0</v>
      </c>
      <c r="N847" t="n">
        <v>0</v>
      </c>
      <c r="O847" t="n">
        <v>0</v>
      </c>
      <c r="P847" t="n">
        <v>0</v>
      </c>
      <c r="Q847" t="n">
        <v>0</v>
      </c>
      <c r="R847" s="2" t="inlineStr"/>
    </row>
    <row r="848" ht="15" customHeight="1">
      <c r="A848" t="inlineStr">
        <is>
          <t>A 68899-2021</t>
        </is>
      </c>
      <c r="B848" s="1" t="n">
        <v>44530.45506944445</v>
      </c>
      <c r="C848" s="1" t="n">
        <v>46011</v>
      </c>
      <c r="D848" t="inlineStr">
        <is>
          <t>VÄSTRA GÖTALANDS LÄN</t>
        </is>
      </c>
      <c r="E848" t="inlineStr">
        <is>
          <t>ALINGSÅS</t>
        </is>
      </c>
      <c r="G848" t="n">
        <v>2.9</v>
      </c>
      <c r="H848" t="n">
        <v>0</v>
      </c>
      <c r="I848" t="n">
        <v>0</v>
      </c>
      <c r="J848" t="n">
        <v>0</v>
      </c>
      <c r="K848" t="n">
        <v>0</v>
      </c>
      <c r="L848" t="n">
        <v>0</v>
      </c>
      <c r="M848" t="n">
        <v>0</v>
      </c>
      <c r="N848" t="n">
        <v>0</v>
      </c>
      <c r="O848" t="n">
        <v>0</v>
      </c>
      <c r="P848" t="n">
        <v>0</v>
      </c>
      <c r="Q848" t="n">
        <v>0</v>
      </c>
      <c r="R848" s="2" t="inlineStr"/>
    </row>
    <row r="849" ht="15" customHeight="1">
      <c r="A849" t="inlineStr">
        <is>
          <t>A 66583-2021</t>
        </is>
      </c>
      <c r="B849" s="1" t="n">
        <v>44519</v>
      </c>
      <c r="C849" s="1" t="n">
        <v>46011</v>
      </c>
      <c r="D849" t="inlineStr">
        <is>
          <t>VÄSTRA GÖTALANDS LÄN</t>
        </is>
      </c>
      <c r="E849" t="inlineStr">
        <is>
          <t>TIDAHOLM</t>
        </is>
      </c>
      <c r="G849" t="n">
        <v>2.1</v>
      </c>
      <c r="H849" t="n">
        <v>0</v>
      </c>
      <c r="I849" t="n">
        <v>0</v>
      </c>
      <c r="J849" t="n">
        <v>0</v>
      </c>
      <c r="K849" t="n">
        <v>0</v>
      </c>
      <c r="L849" t="n">
        <v>0</v>
      </c>
      <c r="M849" t="n">
        <v>0</v>
      </c>
      <c r="N849" t="n">
        <v>0</v>
      </c>
      <c r="O849" t="n">
        <v>0</v>
      </c>
      <c r="P849" t="n">
        <v>0</v>
      </c>
      <c r="Q849" t="n">
        <v>0</v>
      </c>
      <c r="R849" s="2" t="inlineStr"/>
    </row>
    <row r="850" ht="15" customHeight="1">
      <c r="A850" t="inlineStr">
        <is>
          <t>A 39682-2021</t>
        </is>
      </c>
      <c r="B850" s="1" t="n">
        <v>44417.44490740741</v>
      </c>
      <c r="C850" s="1" t="n">
        <v>46011</v>
      </c>
      <c r="D850" t="inlineStr">
        <is>
          <t>VÄSTRA GÖTALANDS LÄN</t>
        </is>
      </c>
      <c r="E850" t="inlineStr">
        <is>
          <t>FALKÖPING</t>
        </is>
      </c>
      <c r="G850" t="n">
        <v>0.7</v>
      </c>
      <c r="H850" t="n">
        <v>0</v>
      </c>
      <c r="I850" t="n">
        <v>0</v>
      </c>
      <c r="J850" t="n">
        <v>0</v>
      </c>
      <c r="K850" t="n">
        <v>0</v>
      </c>
      <c r="L850" t="n">
        <v>0</v>
      </c>
      <c r="M850" t="n">
        <v>0</v>
      </c>
      <c r="N850" t="n">
        <v>0</v>
      </c>
      <c r="O850" t="n">
        <v>0</v>
      </c>
      <c r="P850" t="n">
        <v>0</v>
      </c>
      <c r="Q850" t="n">
        <v>0</v>
      </c>
      <c r="R850" s="2" t="inlineStr"/>
    </row>
    <row r="851" ht="15" customHeight="1">
      <c r="A851" t="inlineStr">
        <is>
          <t>A 49535-2021</t>
        </is>
      </c>
      <c r="B851" s="1" t="n">
        <v>44454</v>
      </c>
      <c r="C851" s="1" t="n">
        <v>46011</v>
      </c>
      <c r="D851" t="inlineStr">
        <is>
          <t>VÄSTRA GÖTALANDS LÄN</t>
        </is>
      </c>
      <c r="E851" t="inlineStr">
        <is>
          <t>TÖREBODA</t>
        </is>
      </c>
      <c r="G851" t="n">
        <v>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46011</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24538-2021</t>
        </is>
      </c>
      <c r="B853" s="1" t="n">
        <v>44339</v>
      </c>
      <c r="C853" s="1" t="n">
        <v>46011</v>
      </c>
      <c r="D853" t="inlineStr">
        <is>
          <t>VÄSTRA GÖTALANDS LÄN</t>
        </is>
      </c>
      <c r="E853" t="inlineStr">
        <is>
          <t>MUNKEDAL</t>
        </is>
      </c>
      <c r="G853" t="n">
        <v>3.4</v>
      </c>
      <c r="H853" t="n">
        <v>0</v>
      </c>
      <c r="I853" t="n">
        <v>0</v>
      </c>
      <c r="J853" t="n">
        <v>0</v>
      </c>
      <c r="K853" t="n">
        <v>0</v>
      </c>
      <c r="L853" t="n">
        <v>0</v>
      </c>
      <c r="M853" t="n">
        <v>0</v>
      </c>
      <c r="N853" t="n">
        <v>0</v>
      </c>
      <c r="O853" t="n">
        <v>0</v>
      </c>
      <c r="P853" t="n">
        <v>0</v>
      </c>
      <c r="Q853" t="n">
        <v>0</v>
      </c>
      <c r="R853" s="2" t="inlineStr"/>
    </row>
    <row r="854" ht="15" customHeight="1">
      <c r="A854" t="inlineStr">
        <is>
          <t>A 66556-2021</t>
        </is>
      </c>
      <c r="B854" s="1" t="n">
        <v>44519.41203703704</v>
      </c>
      <c r="C854" s="1" t="n">
        <v>46011</v>
      </c>
      <c r="D854" t="inlineStr">
        <is>
          <t>VÄSTRA GÖTALANDS LÄN</t>
        </is>
      </c>
      <c r="E854" t="inlineStr">
        <is>
          <t>KARLSBORG</t>
        </is>
      </c>
      <c r="G854" t="n">
        <v>3.5</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46011</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46011</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46011</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46011</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46011</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41087-2021</t>
        </is>
      </c>
      <c r="B860" s="1" t="n">
        <v>44422.5627662037</v>
      </c>
      <c r="C860" s="1" t="n">
        <v>46011</v>
      </c>
      <c r="D860" t="inlineStr">
        <is>
          <t>VÄSTRA GÖTALANDS LÄN</t>
        </is>
      </c>
      <c r="E860" t="inlineStr">
        <is>
          <t>HERRLJUNGA</t>
        </is>
      </c>
      <c r="G860" t="n">
        <v>3.8</v>
      </c>
      <c r="H860" t="n">
        <v>0</v>
      </c>
      <c r="I860" t="n">
        <v>0</v>
      </c>
      <c r="J860" t="n">
        <v>0</v>
      </c>
      <c r="K860" t="n">
        <v>0</v>
      </c>
      <c r="L860" t="n">
        <v>0</v>
      </c>
      <c r="M860" t="n">
        <v>0</v>
      </c>
      <c r="N860" t="n">
        <v>0</v>
      </c>
      <c r="O860" t="n">
        <v>0</v>
      </c>
      <c r="P860" t="n">
        <v>0</v>
      </c>
      <c r="Q860" t="n">
        <v>0</v>
      </c>
      <c r="R860" s="2" t="inlineStr"/>
    </row>
    <row r="861" ht="15" customHeight="1">
      <c r="A861" t="inlineStr">
        <is>
          <t>A 14112-2021</t>
        </is>
      </c>
      <c r="B861" s="1" t="n">
        <v>44278</v>
      </c>
      <c r="C861" s="1" t="n">
        <v>46011</v>
      </c>
      <c r="D861" t="inlineStr">
        <is>
          <t>VÄSTRA GÖTALANDS LÄN</t>
        </is>
      </c>
      <c r="E861" t="inlineStr">
        <is>
          <t>GULLSPÅNG</t>
        </is>
      </c>
      <c r="G861" t="n">
        <v>0.5</v>
      </c>
      <c r="H861" t="n">
        <v>0</v>
      </c>
      <c r="I861" t="n">
        <v>0</v>
      </c>
      <c r="J861" t="n">
        <v>0</v>
      </c>
      <c r="K861" t="n">
        <v>0</v>
      </c>
      <c r="L861" t="n">
        <v>0</v>
      </c>
      <c r="M861" t="n">
        <v>0</v>
      </c>
      <c r="N861" t="n">
        <v>0</v>
      </c>
      <c r="O861" t="n">
        <v>0</v>
      </c>
      <c r="P861" t="n">
        <v>0</v>
      </c>
      <c r="Q861" t="n">
        <v>0</v>
      </c>
      <c r="R861" s="2" t="inlineStr"/>
    </row>
    <row r="862" ht="15" customHeight="1">
      <c r="A862" t="inlineStr">
        <is>
          <t>A 16546-2021</t>
        </is>
      </c>
      <c r="B862" s="1" t="n">
        <v>44293</v>
      </c>
      <c r="C862" s="1" t="n">
        <v>46011</v>
      </c>
      <c r="D862" t="inlineStr">
        <is>
          <t>VÄSTRA GÖTALANDS LÄN</t>
        </is>
      </c>
      <c r="E862" t="inlineStr">
        <is>
          <t>FÄRGELANDA</t>
        </is>
      </c>
      <c r="G862" t="n">
        <v>5.7</v>
      </c>
      <c r="H862" t="n">
        <v>0</v>
      </c>
      <c r="I862" t="n">
        <v>0</v>
      </c>
      <c r="J862" t="n">
        <v>0</v>
      </c>
      <c r="K862" t="n">
        <v>0</v>
      </c>
      <c r="L862" t="n">
        <v>0</v>
      </c>
      <c r="M862" t="n">
        <v>0</v>
      </c>
      <c r="N862" t="n">
        <v>0</v>
      </c>
      <c r="O862" t="n">
        <v>0</v>
      </c>
      <c r="P862" t="n">
        <v>0</v>
      </c>
      <c r="Q862" t="n">
        <v>0</v>
      </c>
      <c r="R862" s="2" t="inlineStr"/>
    </row>
    <row r="863" ht="15" customHeight="1">
      <c r="A863" t="inlineStr">
        <is>
          <t>A 3380-2021</t>
        </is>
      </c>
      <c r="B863" s="1" t="n">
        <v>44218</v>
      </c>
      <c r="C863" s="1" t="n">
        <v>46011</v>
      </c>
      <c r="D863" t="inlineStr">
        <is>
          <t>VÄSTRA GÖTALANDS LÄN</t>
        </is>
      </c>
      <c r="E863" t="inlineStr">
        <is>
          <t>ULRICEHAMN</t>
        </is>
      </c>
      <c r="G863" t="n">
        <v>0.6</v>
      </c>
      <c r="H863" t="n">
        <v>0</v>
      </c>
      <c r="I863" t="n">
        <v>0</v>
      </c>
      <c r="J863" t="n">
        <v>0</v>
      </c>
      <c r="K863" t="n">
        <v>0</v>
      </c>
      <c r="L863" t="n">
        <v>0</v>
      </c>
      <c r="M863" t="n">
        <v>0</v>
      </c>
      <c r="N863" t="n">
        <v>0</v>
      </c>
      <c r="O863" t="n">
        <v>0</v>
      </c>
      <c r="P863" t="n">
        <v>0</v>
      </c>
      <c r="Q863" t="n">
        <v>0</v>
      </c>
      <c r="R863" s="2" t="inlineStr"/>
    </row>
    <row r="864" ht="15" customHeight="1">
      <c r="A864" t="inlineStr">
        <is>
          <t>A 56778-2021</t>
        </is>
      </c>
      <c r="B864" s="1" t="n">
        <v>44481</v>
      </c>
      <c r="C864" s="1" t="n">
        <v>46011</v>
      </c>
      <c r="D864" t="inlineStr">
        <is>
          <t>VÄSTRA GÖTALANDS LÄN</t>
        </is>
      </c>
      <c r="E864" t="inlineStr">
        <is>
          <t>TANUM</t>
        </is>
      </c>
      <c r="G864" t="n">
        <v>0.9</v>
      </c>
      <c r="H864" t="n">
        <v>0</v>
      </c>
      <c r="I864" t="n">
        <v>0</v>
      </c>
      <c r="J864" t="n">
        <v>0</v>
      </c>
      <c r="K864" t="n">
        <v>0</v>
      </c>
      <c r="L864" t="n">
        <v>0</v>
      </c>
      <c r="M864" t="n">
        <v>0</v>
      </c>
      <c r="N864" t="n">
        <v>0</v>
      </c>
      <c r="O864" t="n">
        <v>0</v>
      </c>
      <c r="P864" t="n">
        <v>0</v>
      </c>
      <c r="Q864" t="n">
        <v>0</v>
      </c>
      <c r="R864" s="2" t="inlineStr"/>
    </row>
    <row r="865" ht="15" customHeight="1">
      <c r="A865" t="inlineStr">
        <is>
          <t>A 46086-2021</t>
        </is>
      </c>
      <c r="B865" s="1" t="n">
        <v>44442.34412037037</v>
      </c>
      <c r="C865" s="1" t="n">
        <v>46011</v>
      </c>
      <c r="D865" t="inlineStr">
        <is>
          <t>VÄSTRA GÖTALANDS LÄN</t>
        </is>
      </c>
      <c r="E865" t="inlineStr">
        <is>
          <t>SKÖVDE</t>
        </is>
      </c>
      <c r="G865" t="n">
        <v>0.7</v>
      </c>
      <c r="H865" t="n">
        <v>0</v>
      </c>
      <c r="I865" t="n">
        <v>0</v>
      </c>
      <c r="J865" t="n">
        <v>0</v>
      </c>
      <c r="K865" t="n">
        <v>0</v>
      </c>
      <c r="L865" t="n">
        <v>0</v>
      </c>
      <c r="M865" t="n">
        <v>0</v>
      </c>
      <c r="N865" t="n">
        <v>0</v>
      </c>
      <c r="O865" t="n">
        <v>0</v>
      </c>
      <c r="P865" t="n">
        <v>0</v>
      </c>
      <c r="Q865" t="n">
        <v>0</v>
      </c>
      <c r="R865" s="2" t="inlineStr"/>
    </row>
    <row r="866" ht="15" customHeight="1">
      <c r="A866" t="inlineStr">
        <is>
          <t>A 22316-2021</t>
        </is>
      </c>
      <c r="B866" s="1" t="n">
        <v>44326.47512731481</v>
      </c>
      <c r="C866" s="1" t="n">
        <v>46011</v>
      </c>
      <c r="D866" t="inlineStr">
        <is>
          <t>VÄSTRA GÖTALANDS LÄN</t>
        </is>
      </c>
      <c r="E866" t="inlineStr">
        <is>
          <t>TRANEMO</t>
        </is>
      </c>
      <c r="G866" t="n">
        <v>2.7</v>
      </c>
      <c r="H866" t="n">
        <v>0</v>
      </c>
      <c r="I866" t="n">
        <v>0</v>
      </c>
      <c r="J866" t="n">
        <v>0</v>
      </c>
      <c r="K866" t="n">
        <v>0</v>
      </c>
      <c r="L866" t="n">
        <v>0</v>
      </c>
      <c r="M866" t="n">
        <v>0</v>
      </c>
      <c r="N866" t="n">
        <v>0</v>
      </c>
      <c r="O866" t="n">
        <v>0</v>
      </c>
      <c r="P866" t="n">
        <v>0</v>
      </c>
      <c r="Q866" t="n">
        <v>0</v>
      </c>
      <c r="R866" s="2" t="inlineStr"/>
    </row>
    <row r="867" ht="15" customHeight="1">
      <c r="A867" t="inlineStr">
        <is>
          <t>A 56854-2021</t>
        </is>
      </c>
      <c r="B867" s="1" t="n">
        <v>44481.68056712963</v>
      </c>
      <c r="C867" s="1" t="n">
        <v>46011</v>
      </c>
      <c r="D867" t="inlineStr">
        <is>
          <t>VÄSTRA GÖTALANDS LÄN</t>
        </is>
      </c>
      <c r="E867" t="inlineStr">
        <is>
          <t>TIDAHOLM</t>
        </is>
      </c>
      <c r="G867" t="n">
        <v>4.3</v>
      </c>
      <c r="H867" t="n">
        <v>0</v>
      </c>
      <c r="I867" t="n">
        <v>0</v>
      </c>
      <c r="J867" t="n">
        <v>0</v>
      </c>
      <c r="K867" t="n">
        <v>0</v>
      </c>
      <c r="L867" t="n">
        <v>0</v>
      </c>
      <c r="M867" t="n">
        <v>0</v>
      </c>
      <c r="N867" t="n">
        <v>0</v>
      </c>
      <c r="O867" t="n">
        <v>0</v>
      </c>
      <c r="P867" t="n">
        <v>0</v>
      </c>
      <c r="Q867" t="n">
        <v>0</v>
      </c>
      <c r="R867" s="2" t="inlineStr"/>
    </row>
    <row r="868" ht="15" customHeight="1">
      <c r="A868" t="inlineStr">
        <is>
          <t>A 63749-2021</t>
        </is>
      </c>
      <c r="B868" s="1" t="n">
        <v>44509</v>
      </c>
      <c r="C868" s="1" t="n">
        <v>46011</v>
      </c>
      <c r="D868" t="inlineStr">
        <is>
          <t>VÄSTRA GÖTALANDS LÄN</t>
        </is>
      </c>
      <c r="E868" t="inlineStr">
        <is>
          <t>TÖREBODA</t>
        </is>
      </c>
      <c r="G868" t="n">
        <v>2.8</v>
      </c>
      <c r="H868" t="n">
        <v>0</v>
      </c>
      <c r="I868" t="n">
        <v>0</v>
      </c>
      <c r="J868" t="n">
        <v>0</v>
      </c>
      <c r="K868" t="n">
        <v>0</v>
      </c>
      <c r="L868" t="n">
        <v>0</v>
      </c>
      <c r="M868" t="n">
        <v>0</v>
      </c>
      <c r="N868" t="n">
        <v>0</v>
      </c>
      <c r="O868" t="n">
        <v>0</v>
      </c>
      <c r="P868" t="n">
        <v>0</v>
      </c>
      <c r="Q868" t="n">
        <v>0</v>
      </c>
      <c r="R868" s="2" t="inlineStr"/>
    </row>
    <row r="869" ht="15" customHeight="1">
      <c r="A869" t="inlineStr">
        <is>
          <t>A 1917-2021</t>
        </is>
      </c>
      <c r="B869" s="1" t="n">
        <v>44210</v>
      </c>
      <c r="C869" s="1" t="n">
        <v>46011</v>
      </c>
      <c r="D869" t="inlineStr">
        <is>
          <t>VÄSTRA GÖTALANDS LÄN</t>
        </is>
      </c>
      <c r="E869" t="inlineStr">
        <is>
          <t>TRANEMO</t>
        </is>
      </c>
      <c r="G869" t="n">
        <v>2</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46011</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46011</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28560-2021</t>
        </is>
      </c>
      <c r="B872" s="1" t="n">
        <v>44356.69309027777</v>
      </c>
      <c r="C872" s="1" t="n">
        <v>46011</v>
      </c>
      <c r="D872" t="inlineStr">
        <is>
          <t>VÄSTRA GÖTALANDS LÄN</t>
        </is>
      </c>
      <c r="E872" t="inlineStr">
        <is>
          <t>MARK</t>
        </is>
      </c>
      <c r="G872" t="n">
        <v>1.2</v>
      </c>
      <c r="H872" t="n">
        <v>0</v>
      </c>
      <c r="I872" t="n">
        <v>0</v>
      </c>
      <c r="J872" t="n">
        <v>0</v>
      </c>
      <c r="K872" t="n">
        <v>0</v>
      </c>
      <c r="L872" t="n">
        <v>0</v>
      </c>
      <c r="M872" t="n">
        <v>0</v>
      </c>
      <c r="N872" t="n">
        <v>0</v>
      </c>
      <c r="O872" t="n">
        <v>0</v>
      </c>
      <c r="P872" t="n">
        <v>0</v>
      </c>
      <c r="Q872" t="n">
        <v>0</v>
      </c>
      <c r="R872" s="2" t="inlineStr"/>
    </row>
    <row r="873" ht="15" customHeight="1">
      <c r="A873" t="inlineStr">
        <is>
          <t>A 35390-2021</t>
        </is>
      </c>
      <c r="B873" s="1" t="n">
        <v>44385.35335648148</v>
      </c>
      <c r="C873" s="1" t="n">
        <v>46011</v>
      </c>
      <c r="D873" t="inlineStr">
        <is>
          <t>VÄSTRA GÖTALANDS LÄN</t>
        </is>
      </c>
      <c r="E873" t="inlineStr">
        <is>
          <t>ESSUNGA</t>
        </is>
      </c>
      <c r="G873" t="n">
        <v>0.6</v>
      </c>
      <c r="H873" t="n">
        <v>0</v>
      </c>
      <c r="I873" t="n">
        <v>0</v>
      </c>
      <c r="J873" t="n">
        <v>0</v>
      </c>
      <c r="K873" t="n">
        <v>0</v>
      </c>
      <c r="L873" t="n">
        <v>0</v>
      </c>
      <c r="M873" t="n">
        <v>0</v>
      </c>
      <c r="N873" t="n">
        <v>0</v>
      </c>
      <c r="O873" t="n">
        <v>0</v>
      </c>
      <c r="P873" t="n">
        <v>0</v>
      </c>
      <c r="Q873" t="n">
        <v>0</v>
      </c>
      <c r="R873" s="2" t="inlineStr"/>
    </row>
    <row r="874" ht="15" customHeight="1">
      <c r="A874" t="inlineStr">
        <is>
          <t>A 3290-2022</t>
        </is>
      </c>
      <c r="B874" s="1" t="n">
        <v>44584.74694444444</v>
      </c>
      <c r="C874" s="1" t="n">
        <v>46011</v>
      </c>
      <c r="D874" t="inlineStr">
        <is>
          <t>VÄSTRA GÖTALANDS LÄN</t>
        </is>
      </c>
      <c r="E874" t="inlineStr">
        <is>
          <t>KARLSBORG</t>
        </is>
      </c>
      <c r="G874" t="n">
        <v>1.7</v>
      </c>
      <c r="H874" t="n">
        <v>0</v>
      </c>
      <c r="I874" t="n">
        <v>0</v>
      </c>
      <c r="J874" t="n">
        <v>0</v>
      </c>
      <c r="K874" t="n">
        <v>0</v>
      </c>
      <c r="L874" t="n">
        <v>0</v>
      </c>
      <c r="M874" t="n">
        <v>0</v>
      </c>
      <c r="N874" t="n">
        <v>0</v>
      </c>
      <c r="O874" t="n">
        <v>0</v>
      </c>
      <c r="P874" t="n">
        <v>0</v>
      </c>
      <c r="Q874" t="n">
        <v>0</v>
      </c>
      <c r="R874" s="2" t="inlineStr"/>
    </row>
    <row r="875" ht="15" customHeight="1">
      <c r="A875" t="inlineStr">
        <is>
          <t>A 8486-2022</t>
        </is>
      </c>
      <c r="B875" s="1" t="n">
        <v>44613.37336805555</v>
      </c>
      <c r="C875" s="1" t="n">
        <v>46011</v>
      </c>
      <c r="D875" t="inlineStr">
        <is>
          <t>VÄSTRA GÖTALANDS LÄN</t>
        </is>
      </c>
      <c r="E875" t="inlineStr">
        <is>
          <t>ULRICEHAMN</t>
        </is>
      </c>
      <c r="G875" t="n">
        <v>1</v>
      </c>
      <c r="H875" t="n">
        <v>0</v>
      </c>
      <c r="I875" t="n">
        <v>0</v>
      </c>
      <c r="J875" t="n">
        <v>0</v>
      </c>
      <c r="K875" t="n">
        <v>0</v>
      </c>
      <c r="L875" t="n">
        <v>0</v>
      </c>
      <c r="M875" t="n">
        <v>0</v>
      </c>
      <c r="N875" t="n">
        <v>0</v>
      </c>
      <c r="O875" t="n">
        <v>0</v>
      </c>
      <c r="P875" t="n">
        <v>0</v>
      </c>
      <c r="Q875" t="n">
        <v>0</v>
      </c>
      <c r="R875" s="2" t="inlineStr"/>
    </row>
    <row r="876" ht="15" customHeight="1">
      <c r="A876" t="inlineStr">
        <is>
          <t>A 11557-2021</t>
        </is>
      </c>
      <c r="B876" s="1" t="n">
        <v>44264</v>
      </c>
      <c r="C876" s="1" t="n">
        <v>46011</v>
      </c>
      <c r="D876" t="inlineStr">
        <is>
          <t>VÄSTRA GÖTALANDS LÄN</t>
        </is>
      </c>
      <c r="E876" t="inlineStr">
        <is>
          <t>VARA</t>
        </is>
      </c>
      <c r="G876" t="n">
        <v>1.9</v>
      </c>
      <c r="H876" t="n">
        <v>0</v>
      </c>
      <c r="I876" t="n">
        <v>0</v>
      </c>
      <c r="J876" t="n">
        <v>0</v>
      </c>
      <c r="K876" t="n">
        <v>0</v>
      </c>
      <c r="L876" t="n">
        <v>0</v>
      </c>
      <c r="M876" t="n">
        <v>0</v>
      </c>
      <c r="N876" t="n">
        <v>0</v>
      </c>
      <c r="O876" t="n">
        <v>0</v>
      </c>
      <c r="P876" t="n">
        <v>0</v>
      </c>
      <c r="Q876" t="n">
        <v>0</v>
      </c>
      <c r="R876" s="2" t="inlineStr"/>
    </row>
    <row r="877" ht="15" customHeight="1">
      <c r="A877" t="inlineStr">
        <is>
          <t>A 50102-2021</t>
        </is>
      </c>
      <c r="B877" s="1" t="n">
        <v>44456.62418981481</v>
      </c>
      <c r="C877" s="1" t="n">
        <v>46011</v>
      </c>
      <c r="D877" t="inlineStr">
        <is>
          <t>VÄSTRA GÖTALANDS LÄN</t>
        </is>
      </c>
      <c r="E877" t="inlineStr">
        <is>
          <t>MARK</t>
        </is>
      </c>
      <c r="G877" t="n">
        <v>0.6</v>
      </c>
      <c r="H877" t="n">
        <v>0</v>
      </c>
      <c r="I877" t="n">
        <v>0</v>
      </c>
      <c r="J877" t="n">
        <v>0</v>
      </c>
      <c r="K877" t="n">
        <v>0</v>
      </c>
      <c r="L877" t="n">
        <v>0</v>
      </c>
      <c r="M877" t="n">
        <v>0</v>
      </c>
      <c r="N877" t="n">
        <v>0</v>
      </c>
      <c r="O877" t="n">
        <v>0</v>
      </c>
      <c r="P877" t="n">
        <v>0</v>
      </c>
      <c r="Q877" t="n">
        <v>0</v>
      </c>
      <c r="R877" s="2" t="inlineStr"/>
    </row>
    <row r="878" ht="15" customHeight="1">
      <c r="A878" t="inlineStr">
        <is>
          <t>A 47168-2021</t>
        </is>
      </c>
      <c r="B878" s="1" t="n">
        <v>44446</v>
      </c>
      <c r="C878" s="1" t="n">
        <v>46011</v>
      </c>
      <c r="D878" t="inlineStr">
        <is>
          <t>VÄSTRA GÖTALANDS LÄN</t>
        </is>
      </c>
      <c r="E878" t="inlineStr">
        <is>
          <t>TANUM</t>
        </is>
      </c>
      <c r="G878" t="n">
        <v>0.2</v>
      </c>
      <c r="H878" t="n">
        <v>0</v>
      </c>
      <c r="I878" t="n">
        <v>0</v>
      </c>
      <c r="J878" t="n">
        <v>0</v>
      </c>
      <c r="K878" t="n">
        <v>0</v>
      </c>
      <c r="L878" t="n">
        <v>0</v>
      </c>
      <c r="M878" t="n">
        <v>0</v>
      </c>
      <c r="N878" t="n">
        <v>0</v>
      </c>
      <c r="O878" t="n">
        <v>0</v>
      </c>
      <c r="P878" t="n">
        <v>0</v>
      </c>
      <c r="Q878" t="n">
        <v>0</v>
      </c>
      <c r="R878" s="2" t="inlineStr"/>
    </row>
    <row r="879" ht="15" customHeight="1">
      <c r="A879" t="inlineStr">
        <is>
          <t>A 44110-2021</t>
        </is>
      </c>
      <c r="B879" s="1" t="n">
        <v>44434.60643518518</v>
      </c>
      <c r="C879" s="1" t="n">
        <v>46011</v>
      </c>
      <c r="D879" t="inlineStr">
        <is>
          <t>VÄSTRA GÖTALANDS LÄN</t>
        </is>
      </c>
      <c r="E879" t="inlineStr">
        <is>
          <t>TRANEMO</t>
        </is>
      </c>
      <c r="G879" t="n">
        <v>0.5</v>
      </c>
      <c r="H879" t="n">
        <v>0</v>
      </c>
      <c r="I879" t="n">
        <v>0</v>
      </c>
      <c r="J879" t="n">
        <v>0</v>
      </c>
      <c r="K879" t="n">
        <v>0</v>
      </c>
      <c r="L879" t="n">
        <v>0</v>
      </c>
      <c r="M879" t="n">
        <v>0</v>
      </c>
      <c r="N879" t="n">
        <v>0</v>
      </c>
      <c r="O879" t="n">
        <v>0</v>
      </c>
      <c r="P879" t="n">
        <v>0</v>
      </c>
      <c r="Q879" t="n">
        <v>0</v>
      </c>
      <c r="R879" s="2" t="inlineStr"/>
    </row>
    <row r="880" ht="15" customHeight="1">
      <c r="A880" t="inlineStr">
        <is>
          <t>A 6870-2022</t>
        </is>
      </c>
      <c r="B880" s="1" t="n">
        <v>44602</v>
      </c>
      <c r="C880" s="1" t="n">
        <v>46011</v>
      </c>
      <c r="D880" t="inlineStr">
        <is>
          <t>VÄSTRA GÖTALANDS LÄN</t>
        </is>
      </c>
      <c r="E880" t="inlineStr">
        <is>
          <t>TIBRO</t>
        </is>
      </c>
      <c r="G880" t="n">
        <v>1.8</v>
      </c>
      <c r="H880" t="n">
        <v>0</v>
      </c>
      <c r="I880" t="n">
        <v>0</v>
      </c>
      <c r="J880" t="n">
        <v>0</v>
      </c>
      <c r="K880" t="n">
        <v>0</v>
      </c>
      <c r="L880" t="n">
        <v>0</v>
      </c>
      <c r="M880" t="n">
        <v>0</v>
      </c>
      <c r="N880" t="n">
        <v>0</v>
      </c>
      <c r="O880" t="n">
        <v>0</v>
      </c>
      <c r="P880" t="n">
        <v>0</v>
      </c>
      <c r="Q880" t="n">
        <v>0</v>
      </c>
      <c r="R880" s="2" t="inlineStr"/>
    </row>
    <row r="881" ht="15" customHeight="1">
      <c r="A881" t="inlineStr">
        <is>
          <t>A 31208-2021</t>
        </is>
      </c>
      <c r="B881" s="1" t="n">
        <v>44368</v>
      </c>
      <c r="C881" s="1" t="n">
        <v>46011</v>
      </c>
      <c r="D881" t="inlineStr">
        <is>
          <t>VÄSTRA GÖTALANDS LÄN</t>
        </is>
      </c>
      <c r="E881" t="inlineStr">
        <is>
          <t>ÅMÅL</t>
        </is>
      </c>
      <c r="G881" t="n">
        <v>2.3</v>
      </c>
      <c r="H881" t="n">
        <v>0</v>
      </c>
      <c r="I881" t="n">
        <v>0</v>
      </c>
      <c r="J881" t="n">
        <v>0</v>
      </c>
      <c r="K881" t="n">
        <v>0</v>
      </c>
      <c r="L881" t="n">
        <v>0</v>
      </c>
      <c r="M881" t="n">
        <v>0</v>
      </c>
      <c r="N881" t="n">
        <v>0</v>
      </c>
      <c r="O881" t="n">
        <v>0</v>
      </c>
      <c r="P881" t="n">
        <v>0</v>
      </c>
      <c r="Q881" t="n">
        <v>0</v>
      </c>
      <c r="R881" s="2" t="inlineStr"/>
    </row>
    <row r="882" ht="15" customHeight="1">
      <c r="A882" t="inlineStr">
        <is>
          <t>A 73977-2021</t>
        </is>
      </c>
      <c r="B882" s="1" t="n">
        <v>44554.44054398148</v>
      </c>
      <c r="C882" s="1" t="n">
        <v>46011</v>
      </c>
      <c r="D882" t="inlineStr">
        <is>
          <t>VÄSTRA GÖTALANDS LÄN</t>
        </is>
      </c>
      <c r="E882" t="inlineStr">
        <is>
          <t>MUNKEDAL</t>
        </is>
      </c>
      <c r="G882" t="n">
        <v>0.9</v>
      </c>
      <c r="H882" t="n">
        <v>0</v>
      </c>
      <c r="I882" t="n">
        <v>0</v>
      </c>
      <c r="J882" t="n">
        <v>0</v>
      </c>
      <c r="K882" t="n">
        <v>0</v>
      </c>
      <c r="L882" t="n">
        <v>0</v>
      </c>
      <c r="M882" t="n">
        <v>0</v>
      </c>
      <c r="N882" t="n">
        <v>0</v>
      </c>
      <c r="O882" t="n">
        <v>0</v>
      </c>
      <c r="P882" t="n">
        <v>0</v>
      </c>
      <c r="Q882" t="n">
        <v>0</v>
      </c>
      <c r="R882" s="2" t="inlineStr"/>
    </row>
    <row r="883" ht="15" customHeight="1">
      <c r="A883" t="inlineStr">
        <is>
          <t>A 33373-2022</t>
        </is>
      </c>
      <c r="B883" s="1" t="n">
        <v>44788</v>
      </c>
      <c r="C883" s="1" t="n">
        <v>46011</v>
      </c>
      <c r="D883" t="inlineStr">
        <is>
          <t>VÄSTRA GÖTALANDS LÄN</t>
        </is>
      </c>
      <c r="E883" t="inlineStr">
        <is>
          <t>LIDKÖPING</t>
        </is>
      </c>
      <c r="G883" t="n">
        <v>2.3</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46011</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39732-2021</t>
        </is>
      </c>
      <c r="B885" s="1" t="n">
        <v>44417.48436342592</v>
      </c>
      <c r="C885" s="1" t="n">
        <v>46011</v>
      </c>
      <c r="D885" t="inlineStr">
        <is>
          <t>VÄSTRA GÖTALANDS LÄN</t>
        </is>
      </c>
      <c r="E885" t="inlineStr">
        <is>
          <t>HERRLJUNGA</t>
        </is>
      </c>
      <c r="G885" t="n">
        <v>0.5</v>
      </c>
      <c r="H885" t="n">
        <v>0</v>
      </c>
      <c r="I885" t="n">
        <v>0</v>
      </c>
      <c r="J885" t="n">
        <v>0</v>
      </c>
      <c r="K885" t="n">
        <v>0</v>
      </c>
      <c r="L885" t="n">
        <v>0</v>
      </c>
      <c r="M885" t="n">
        <v>0</v>
      </c>
      <c r="N885" t="n">
        <v>0</v>
      </c>
      <c r="O885" t="n">
        <v>0</v>
      </c>
      <c r="P885" t="n">
        <v>0</v>
      </c>
      <c r="Q885" t="n">
        <v>0</v>
      </c>
      <c r="R885" s="2" t="inlineStr"/>
    </row>
    <row r="886" ht="15" customHeight="1">
      <c r="A886" t="inlineStr">
        <is>
          <t>A 9774-2022</t>
        </is>
      </c>
      <c r="B886" s="1" t="n">
        <v>44619.80266203704</v>
      </c>
      <c r="C886" s="1" t="n">
        <v>46011</v>
      </c>
      <c r="D886" t="inlineStr">
        <is>
          <t>VÄSTRA GÖTALANDS LÄN</t>
        </is>
      </c>
      <c r="E886" t="inlineStr">
        <is>
          <t>MARIESTAD</t>
        </is>
      </c>
      <c r="G886" t="n">
        <v>0.5</v>
      </c>
      <c r="H886" t="n">
        <v>0</v>
      </c>
      <c r="I886" t="n">
        <v>0</v>
      </c>
      <c r="J886" t="n">
        <v>0</v>
      </c>
      <c r="K886" t="n">
        <v>0</v>
      </c>
      <c r="L886" t="n">
        <v>0</v>
      </c>
      <c r="M886" t="n">
        <v>0</v>
      </c>
      <c r="N886" t="n">
        <v>0</v>
      </c>
      <c r="O886" t="n">
        <v>0</v>
      </c>
      <c r="P886" t="n">
        <v>0</v>
      </c>
      <c r="Q886" t="n">
        <v>0</v>
      </c>
      <c r="R886" s="2" t="inlineStr"/>
    </row>
    <row r="887" ht="15" customHeight="1">
      <c r="A887" t="inlineStr">
        <is>
          <t>A 35602-2022</t>
        </is>
      </c>
      <c r="B887" s="1" t="n">
        <v>44799.45684027778</v>
      </c>
      <c r="C887" s="1" t="n">
        <v>46011</v>
      </c>
      <c r="D887" t="inlineStr">
        <is>
          <t>VÄSTRA GÖTALANDS LÄN</t>
        </is>
      </c>
      <c r="E887" t="inlineStr">
        <is>
          <t>HJO</t>
        </is>
      </c>
      <c r="G887" t="n">
        <v>0.9</v>
      </c>
      <c r="H887" t="n">
        <v>0</v>
      </c>
      <c r="I887" t="n">
        <v>0</v>
      </c>
      <c r="J887" t="n">
        <v>0</v>
      </c>
      <c r="K887" t="n">
        <v>0</v>
      </c>
      <c r="L887" t="n">
        <v>0</v>
      </c>
      <c r="M887" t="n">
        <v>0</v>
      </c>
      <c r="N887" t="n">
        <v>0</v>
      </c>
      <c r="O887" t="n">
        <v>0</v>
      </c>
      <c r="P887" t="n">
        <v>0</v>
      </c>
      <c r="Q887" t="n">
        <v>0</v>
      </c>
      <c r="R887" s="2" t="inlineStr"/>
    </row>
    <row r="888" ht="15" customHeight="1">
      <c r="A888" t="inlineStr">
        <is>
          <t>A 35607-2022</t>
        </is>
      </c>
      <c r="B888" s="1" t="n">
        <v>44799</v>
      </c>
      <c r="C888" s="1" t="n">
        <v>46011</v>
      </c>
      <c r="D888" t="inlineStr">
        <is>
          <t>VÄSTRA GÖTALANDS LÄN</t>
        </is>
      </c>
      <c r="E888" t="inlineStr">
        <is>
          <t>SKARA</t>
        </is>
      </c>
      <c r="G888" t="n">
        <v>1.9</v>
      </c>
      <c r="H888" t="n">
        <v>0</v>
      </c>
      <c r="I888" t="n">
        <v>0</v>
      </c>
      <c r="J888" t="n">
        <v>0</v>
      </c>
      <c r="K888" t="n">
        <v>0</v>
      </c>
      <c r="L888" t="n">
        <v>0</v>
      </c>
      <c r="M888" t="n">
        <v>0</v>
      </c>
      <c r="N888" t="n">
        <v>0</v>
      </c>
      <c r="O888" t="n">
        <v>0</v>
      </c>
      <c r="P888" t="n">
        <v>0</v>
      </c>
      <c r="Q888" t="n">
        <v>0</v>
      </c>
      <c r="R888" s="2" t="inlineStr"/>
    </row>
    <row r="889" ht="15" customHeight="1">
      <c r="A889" t="inlineStr">
        <is>
          <t>A 24049-2022</t>
        </is>
      </c>
      <c r="B889" s="1" t="n">
        <v>44724</v>
      </c>
      <c r="C889" s="1" t="n">
        <v>46011</v>
      </c>
      <c r="D889" t="inlineStr">
        <is>
          <t>VÄSTRA GÖTALANDS LÄN</t>
        </is>
      </c>
      <c r="E889" t="inlineStr">
        <is>
          <t>GRÄSTORP</t>
        </is>
      </c>
      <c r="G889" t="n">
        <v>2.9</v>
      </c>
      <c r="H889" t="n">
        <v>0</v>
      </c>
      <c r="I889" t="n">
        <v>0</v>
      </c>
      <c r="J889" t="n">
        <v>0</v>
      </c>
      <c r="K889" t="n">
        <v>0</v>
      </c>
      <c r="L889" t="n">
        <v>0</v>
      </c>
      <c r="M889" t="n">
        <v>0</v>
      </c>
      <c r="N889" t="n">
        <v>0</v>
      </c>
      <c r="O889" t="n">
        <v>0</v>
      </c>
      <c r="P889" t="n">
        <v>0</v>
      </c>
      <c r="Q889" t="n">
        <v>0</v>
      </c>
      <c r="R889" s="2" t="inlineStr"/>
    </row>
    <row r="890" ht="15" customHeight="1">
      <c r="A890" t="inlineStr">
        <is>
          <t>A 29569-2022</t>
        </is>
      </c>
      <c r="B890" s="1" t="n">
        <v>44754</v>
      </c>
      <c r="C890" s="1" t="n">
        <v>46011</v>
      </c>
      <c r="D890" t="inlineStr">
        <is>
          <t>VÄSTRA GÖTALANDS LÄN</t>
        </is>
      </c>
      <c r="E890" t="inlineStr">
        <is>
          <t>MELLERUD</t>
        </is>
      </c>
      <c r="G890" t="n">
        <v>0.6</v>
      </c>
      <c r="H890" t="n">
        <v>0</v>
      </c>
      <c r="I890" t="n">
        <v>0</v>
      </c>
      <c r="J890" t="n">
        <v>0</v>
      </c>
      <c r="K890" t="n">
        <v>0</v>
      </c>
      <c r="L890" t="n">
        <v>0</v>
      </c>
      <c r="M890" t="n">
        <v>0</v>
      </c>
      <c r="N890" t="n">
        <v>0</v>
      </c>
      <c r="O890" t="n">
        <v>0</v>
      </c>
      <c r="P890" t="n">
        <v>0</v>
      </c>
      <c r="Q890" t="n">
        <v>0</v>
      </c>
      <c r="R890" s="2" t="inlineStr"/>
    </row>
    <row r="891" ht="15" customHeight="1">
      <c r="A891" t="inlineStr">
        <is>
          <t>A 43997-2021</t>
        </is>
      </c>
      <c r="B891" s="1" t="n">
        <v>44434</v>
      </c>
      <c r="C891" s="1" t="n">
        <v>46011</v>
      </c>
      <c r="D891" t="inlineStr">
        <is>
          <t>VÄSTRA GÖTALANDS LÄN</t>
        </is>
      </c>
      <c r="E891" t="inlineStr">
        <is>
          <t>FALKÖPING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70450-2021</t>
        </is>
      </c>
      <c r="B892" s="1" t="n">
        <v>44536.64174768519</v>
      </c>
      <c r="C892" s="1" t="n">
        <v>46011</v>
      </c>
      <c r="D892" t="inlineStr">
        <is>
          <t>VÄSTRA GÖTALANDS LÄN</t>
        </is>
      </c>
      <c r="E892" t="inlineStr">
        <is>
          <t>KARLSBORG</t>
        </is>
      </c>
      <c r="F892" t="inlineStr">
        <is>
          <t>Övriga Aktiebolag</t>
        </is>
      </c>
      <c r="G892" t="n">
        <v>3.5</v>
      </c>
      <c r="H892" t="n">
        <v>0</v>
      </c>
      <c r="I892" t="n">
        <v>0</v>
      </c>
      <c r="J892" t="n">
        <v>0</v>
      </c>
      <c r="K892" t="n">
        <v>0</v>
      </c>
      <c r="L892" t="n">
        <v>0</v>
      </c>
      <c r="M892" t="n">
        <v>0</v>
      </c>
      <c r="N892" t="n">
        <v>0</v>
      </c>
      <c r="O892" t="n">
        <v>0</v>
      </c>
      <c r="P892" t="n">
        <v>0</v>
      </c>
      <c r="Q892" t="n">
        <v>0</v>
      </c>
      <c r="R892" s="2" t="inlineStr"/>
    </row>
    <row r="893" ht="15" customHeight="1">
      <c r="A893" t="inlineStr">
        <is>
          <t>A 68549-2021</t>
        </is>
      </c>
      <c r="B893" s="1" t="n">
        <v>44529.49225694445</v>
      </c>
      <c r="C893" s="1" t="n">
        <v>46011</v>
      </c>
      <c r="D893" t="inlineStr">
        <is>
          <t>VÄSTRA GÖTALANDS LÄN</t>
        </is>
      </c>
      <c r="E893" t="inlineStr">
        <is>
          <t>HERRLJUNGA</t>
        </is>
      </c>
      <c r="G893" t="n">
        <v>1.9</v>
      </c>
      <c r="H893" t="n">
        <v>0</v>
      </c>
      <c r="I893" t="n">
        <v>0</v>
      </c>
      <c r="J893" t="n">
        <v>0</v>
      </c>
      <c r="K893" t="n">
        <v>0</v>
      </c>
      <c r="L893" t="n">
        <v>0</v>
      </c>
      <c r="M893" t="n">
        <v>0</v>
      </c>
      <c r="N893" t="n">
        <v>0</v>
      </c>
      <c r="O893" t="n">
        <v>0</v>
      </c>
      <c r="P893" t="n">
        <v>0</v>
      </c>
      <c r="Q893" t="n">
        <v>0</v>
      </c>
      <c r="R893" s="2" t="inlineStr"/>
    </row>
    <row r="894" ht="15" customHeight="1">
      <c r="A894" t="inlineStr">
        <is>
          <t>A 562-2022</t>
        </is>
      </c>
      <c r="B894" s="1" t="n">
        <v>44566</v>
      </c>
      <c r="C894" s="1" t="n">
        <v>46011</v>
      </c>
      <c r="D894" t="inlineStr">
        <is>
          <t>VÄSTRA GÖTALANDS LÄN</t>
        </is>
      </c>
      <c r="E894" t="inlineStr">
        <is>
          <t>GÖTENE</t>
        </is>
      </c>
      <c r="G894" t="n">
        <v>1.2</v>
      </c>
      <c r="H894" t="n">
        <v>0</v>
      </c>
      <c r="I894" t="n">
        <v>0</v>
      </c>
      <c r="J894" t="n">
        <v>0</v>
      </c>
      <c r="K894" t="n">
        <v>0</v>
      </c>
      <c r="L894" t="n">
        <v>0</v>
      </c>
      <c r="M894" t="n">
        <v>0</v>
      </c>
      <c r="N894" t="n">
        <v>0</v>
      </c>
      <c r="O894" t="n">
        <v>0</v>
      </c>
      <c r="P894" t="n">
        <v>0</v>
      </c>
      <c r="Q894" t="n">
        <v>0</v>
      </c>
      <c r="R894" s="2" t="inlineStr"/>
    </row>
    <row r="895" ht="15" customHeight="1">
      <c r="A895" t="inlineStr">
        <is>
          <t>A 31088-2021</t>
        </is>
      </c>
      <c r="B895" s="1" t="n">
        <v>44368</v>
      </c>
      <c r="C895" s="1" t="n">
        <v>46011</v>
      </c>
      <c r="D895" t="inlineStr">
        <is>
          <t>VÄSTRA GÖTALANDS LÄN</t>
        </is>
      </c>
      <c r="E895" t="inlineStr">
        <is>
          <t>TROLLHÄTTAN</t>
        </is>
      </c>
      <c r="G895" t="n">
        <v>0.5</v>
      </c>
      <c r="H895" t="n">
        <v>0</v>
      </c>
      <c r="I895" t="n">
        <v>0</v>
      </c>
      <c r="J895" t="n">
        <v>0</v>
      </c>
      <c r="K895" t="n">
        <v>0</v>
      </c>
      <c r="L895" t="n">
        <v>0</v>
      </c>
      <c r="M895" t="n">
        <v>0</v>
      </c>
      <c r="N895" t="n">
        <v>0</v>
      </c>
      <c r="O895" t="n">
        <v>0</v>
      </c>
      <c r="P895" t="n">
        <v>0</v>
      </c>
      <c r="Q895" t="n">
        <v>0</v>
      </c>
      <c r="R895" s="2" t="inlineStr"/>
    </row>
    <row r="896" ht="15" customHeight="1">
      <c r="A896" t="inlineStr">
        <is>
          <t>A 40946-2021</t>
        </is>
      </c>
      <c r="B896" s="1" t="n">
        <v>44421.5517824074</v>
      </c>
      <c r="C896" s="1" t="n">
        <v>46011</v>
      </c>
      <c r="D896" t="inlineStr">
        <is>
          <t>VÄSTRA GÖTALANDS LÄN</t>
        </is>
      </c>
      <c r="E896" t="inlineStr">
        <is>
          <t>SKARA</t>
        </is>
      </c>
      <c r="G896" t="n">
        <v>1.6</v>
      </c>
      <c r="H896" t="n">
        <v>0</v>
      </c>
      <c r="I896" t="n">
        <v>0</v>
      </c>
      <c r="J896" t="n">
        <v>0</v>
      </c>
      <c r="K896" t="n">
        <v>0</v>
      </c>
      <c r="L896" t="n">
        <v>0</v>
      </c>
      <c r="M896" t="n">
        <v>0</v>
      </c>
      <c r="N896" t="n">
        <v>0</v>
      </c>
      <c r="O896" t="n">
        <v>0</v>
      </c>
      <c r="P896" t="n">
        <v>0</v>
      </c>
      <c r="Q896" t="n">
        <v>0</v>
      </c>
      <c r="R896" s="2" t="inlineStr"/>
    </row>
    <row r="897" ht="15" customHeight="1">
      <c r="A897" t="inlineStr">
        <is>
          <t>A 40950-2021</t>
        </is>
      </c>
      <c r="B897" s="1" t="n">
        <v>44421.56398148148</v>
      </c>
      <c r="C897" s="1" t="n">
        <v>46011</v>
      </c>
      <c r="D897" t="inlineStr">
        <is>
          <t>VÄSTRA GÖTALANDS LÄN</t>
        </is>
      </c>
      <c r="E897" t="inlineStr">
        <is>
          <t>MUNKEDAL</t>
        </is>
      </c>
      <c r="G897" t="n">
        <v>3.8</v>
      </c>
      <c r="H897" t="n">
        <v>0</v>
      </c>
      <c r="I897" t="n">
        <v>0</v>
      </c>
      <c r="J897" t="n">
        <v>0</v>
      </c>
      <c r="K897" t="n">
        <v>0</v>
      </c>
      <c r="L897" t="n">
        <v>0</v>
      </c>
      <c r="M897" t="n">
        <v>0</v>
      </c>
      <c r="N897" t="n">
        <v>0</v>
      </c>
      <c r="O897" t="n">
        <v>0</v>
      </c>
      <c r="P897" t="n">
        <v>0</v>
      </c>
      <c r="Q897" t="n">
        <v>0</v>
      </c>
      <c r="R897" s="2" t="inlineStr"/>
    </row>
    <row r="898" ht="15" customHeight="1">
      <c r="A898" t="inlineStr">
        <is>
          <t>A 63192-2021</t>
        </is>
      </c>
      <c r="B898" s="1" t="n">
        <v>44507.63101851852</v>
      </c>
      <c r="C898" s="1" t="n">
        <v>46011</v>
      </c>
      <c r="D898" t="inlineStr">
        <is>
          <t>VÄSTRA GÖTALANDS LÄN</t>
        </is>
      </c>
      <c r="E898" t="inlineStr">
        <is>
          <t>DALS-ED</t>
        </is>
      </c>
      <c r="G898" t="n">
        <v>4.9</v>
      </c>
      <c r="H898" t="n">
        <v>0</v>
      </c>
      <c r="I898" t="n">
        <v>0</v>
      </c>
      <c r="J898" t="n">
        <v>0</v>
      </c>
      <c r="K898" t="n">
        <v>0</v>
      </c>
      <c r="L898" t="n">
        <v>0</v>
      </c>
      <c r="M898" t="n">
        <v>0</v>
      </c>
      <c r="N898" t="n">
        <v>0</v>
      </c>
      <c r="O898" t="n">
        <v>0</v>
      </c>
      <c r="P898" t="n">
        <v>0</v>
      </c>
      <c r="Q898" t="n">
        <v>0</v>
      </c>
      <c r="R898" s="2" t="inlineStr"/>
    </row>
    <row r="899" ht="15" customHeight="1">
      <c r="A899" t="inlineStr">
        <is>
          <t>A 54954-2021</t>
        </is>
      </c>
      <c r="B899" s="1" t="n">
        <v>44474.47417824074</v>
      </c>
      <c r="C899" s="1" t="n">
        <v>46011</v>
      </c>
      <c r="D899" t="inlineStr">
        <is>
          <t>VÄSTRA GÖTALANDS LÄN</t>
        </is>
      </c>
      <c r="E899" t="inlineStr">
        <is>
          <t>MARK</t>
        </is>
      </c>
      <c r="G899" t="n">
        <v>1.7</v>
      </c>
      <c r="H899" t="n">
        <v>0</v>
      </c>
      <c r="I899" t="n">
        <v>0</v>
      </c>
      <c r="J899" t="n">
        <v>0</v>
      </c>
      <c r="K899" t="n">
        <v>0</v>
      </c>
      <c r="L899" t="n">
        <v>0</v>
      </c>
      <c r="M899" t="n">
        <v>0</v>
      </c>
      <c r="N899" t="n">
        <v>0</v>
      </c>
      <c r="O899" t="n">
        <v>0</v>
      </c>
      <c r="P899" t="n">
        <v>0</v>
      </c>
      <c r="Q899" t="n">
        <v>0</v>
      </c>
      <c r="R899" s="2" t="inlineStr"/>
    </row>
    <row r="900" ht="15" customHeight="1">
      <c r="A900" t="inlineStr">
        <is>
          <t>A 38058-2022</t>
        </is>
      </c>
      <c r="B900" s="1" t="n">
        <v>44811.66237268518</v>
      </c>
      <c r="C900" s="1" t="n">
        <v>46011</v>
      </c>
      <c r="D900" t="inlineStr">
        <is>
          <t>VÄSTRA GÖTALANDS LÄN</t>
        </is>
      </c>
      <c r="E900" t="inlineStr">
        <is>
          <t>GRÄSTORP</t>
        </is>
      </c>
      <c r="G900" t="n">
        <v>2</v>
      </c>
      <c r="H900" t="n">
        <v>0</v>
      </c>
      <c r="I900" t="n">
        <v>0</v>
      </c>
      <c r="J900" t="n">
        <v>0</v>
      </c>
      <c r="K900" t="n">
        <v>0</v>
      </c>
      <c r="L900" t="n">
        <v>0</v>
      </c>
      <c r="M900" t="n">
        <v>0</v>
      </c>
      <c r="N900" t="n">
        <v>0</v>
      </c>
      <c r="O900" t="n">
        <v>0</v>
      </c>
      <c r="P900" t="n">
        <v>0</v>
      </c>
      <c r="Q900" t="n">
        <v>0</v>
      </c>
      <c r="R900" s="2" t="inlineStr"/>
    </row>
    <row r="901" ht="15" customHeight="1">
      <c r="A901" t="inlineStr">
        <is>
          <t>A 25504-2022</t>
        </is>
      </c>
      <c r="B901" s="1" t="n">
        <v>44732</v>
      </c>
      <c r="C901" s="1" t="n">
        <v>46011</v>
      </c>
      <c r="D901" t="inlineStr">
        <is>
          <t>VÄSTRA GÖTALANDS LÄN</t>
        </is>
      </c>
      <c r="E901" t="inlineStr">
        <is>
          <t>HÄRRYDA</t>
        </is>
      </c>
      <c r="G901" t="n">
        <v>0.6</v>
      </c>
      <c r="H901" t="n">
        <v>0</v>
      </c>
      <c r="I901" t="n">
        <v>0</v>
      </c>
      <c r="J901" t="n">
        <v>0</v>
      </c>
      <c r="K901" t="n">
        <v>0</v>
      </c>
      <c r="L901" t="n">
        <v>0</v>
      </c>
      <c r="M901" t="n">
        <v>0</v>
      </c>
      <c r="N901" t="n">
        <v>0</v>
      </c>
      <c r="O901" t="n">
        <v>0</v>
      </c>
      <c r="P901" t="n">
        <v>0</v>
      </c>
      <c r="Q901" t="n">
        <v>0</v>
      </c>
      <c r="R901" s="2" t="inlineStr"/>
    </row>
    <row r="902" ht="15" customHeight="1">
      <c r="A902" t="inlineStr">
        <is>
          <t>A 3607-2022</t>
        </is>
      </c>
      <c r="B902" s="1" t="n">
        <v>44586.38584490741</v>
      </c>
      <c r="C902" s="1" t="n">
        <v>46011</v>
      </c>
      <c r="D902" t="inlineStr">
        <is>
          <t>VÄSTRA GÖTALANDS LÄN</t>
        </is>
      </c>
      <c r="E902" t="inlineStr">
        <is>
          <t>UDDEVALLA</t>
        </is>
      </c>
      <c r="G902" t="n">
        <v>5.5</v>
      </c>
      <c r="H902" t="n">
        <v>0</v>
      </c>
      <c r="I902" t="n">
        <v>0</v>
      </c>
      <c r="J902" t="n">
        <v>0</v>
      </c>
      <c r="K902" t="n">
        <v>0</v>
      </c>
      <c r="L902" t="n">
        <v>0</v>
      </c>
      <c r="M902" t="n">
        <v>0</v>
      </c>
      <c r="N902" t="n">
        <v>0</v>
      </c>
      <c r="O902" t="n">
        <v>0</v>
      </c>
      <c r="P902" t="n">
        <v>0</v>
      </c>
      <c r="Q902" t="n">
        <v>0</v>
      </c>
      <c r="R902" s="2" t="inlineStr"/>
    </row>
    <row r="903" ht="15" customHeight="1">
      <c r="A903" t="inlineStr">
        <is>
          <t>A 3610-2022</t>
        </is>
      </c>
      <c r="B903" s="1" t="n">
        <v>44586</v>
      </c>
      <c r="C903" s="1" t="n">
        <v>46011</v>
      </c>
      <c r="D903" t="inlineStr">
        <is>
          <t>VÄSTRA GÖTALANDS LÄN</t>
        </is>
      </c>
      <c r="E903" t="inlineStr">
        <is>
          <t>BORÅS</t>
        </is>
      </c>
      <c r="G903" t="n">
        <v>0.8</v>
      </c>
      <c r="H903" t="n">
        <v>0</v>
      </c>
      <c r="I903" t="n">
        <v>0</v>
      </c>
      <c r="J903" t="n">
        <v>0</v>
      </c>
      <c r="K903" t="n">
        <v>0</v>
      </c>
      <c r="L903" t="n">
        <v>0</v>
      </c>
      <c r="M903" t="n">
        <v>0</v>
      </c>
      <c r="N903" t="n">
        <v>0</v>
      </c>
      <c r="O903" t="n">
        <v>0</v>
      </c>
      <c r="P903" t="n">
        <v>0</v>
      </c>
      <c r="Q903" t="n">
        <v>0</v>
      </c>
      <c r="R903" s="2" t="inlineStr"/>
    </row>
    <row r="904" ht="15" customHeight="1">
      <c r="A904" t="inlineStr">
        <is>
          <t>A 33784-2021</t>
        </is>
      </c>
      <c r="B904" s="1" t="n">
        <v>44378.55261574074</v>
      </c>
      <c r="C904" s="1" t="n">
        <v>46011</v>
      </c>
      <c r="D904" t="inlineStr">
        <is>
          <t>VÄSTRA GÖTALANDS LÄN</t>
        </is>
      </c>
      <c r="E904" t="inlineStr">
        <is>
          <t>HERRLJUNGA</t>
        </is>
      </c>
      <c r="G904" t="n">
        <v>1.2</v>
      </c>
      <c r="H904" t="n">
        <v>0</v>
      </c>
      <c r="I904" t="n">
        <v>0</v>
      </c>
      <c r="J904" t="n">
        <v>0</v>
      </c>
      <c r="K904" t="n">
        <v>0</v>
      </c>
      <c r="L904" t="n">
        <v>0</v>
      </c>
      <c r="M904" t="n">
        <v>0</v>
      </c>
      <c r="N904" t="n">
        <v>0</v>
      </c>
      <c r="O904" t="n">
        <v>0</v>
      </c>
      <c r="P904" t="n">
        <v>0</v>
      </c>
      <c r="Q904" t="n">
        <v>0</v>
      </c>
      <c r="R904" s="2" t="inlineStr"/>
    </row>
    <row r="905" ht="15" customHeight="1">
      <c r="A905" t="inlineStr">
        <is>
          <t>A 17799-2021</t>
        </is>
      </c>
      <c r="B905" s="1" t="n">
        <v>44300</v>
      </c>
      <c r="C905" s="1" t="n">
        <v>46011</v>
      </c>
      <c r="D905" t="inlineStr">
        <is>
          <t>VÄSTRA GÖTALANDS LÄN</t>
        </is>
      </c>
      <c r="E905" t="inlineStr">
        <is>
          <t>GULLSPÅNG</t>
        </is>
      </c>
      <c r="G905" t="n">
        <v>1</v>
      </c>
      <c r="H905" t="n">
        <v>0</v>
      </c>
      <c r="I905" t="n">
        <v>0</v>
      </c>
      <c r="J905" t="n">
        <v>0</v>
      </c>
      <c r="K905" t="n">
        <v>0</v>
      </c>
      <c r="L905" t="n">
        <v>0</v>
      </c>
      <c r="M905" t="n">
        <v>0</v>
      </c>
      <c r="N905" t="n">
        <v>0</v>
      </c>
      <c r="O905" t="n">
        <v>0</v>
      </c>
      <c r="P905" t="n">
        <v>0</v>
      </c>
      <c r="Q905" t="n">
        <v>0</v>
      </c>
      <c r="R905" s="2" t="inlineStr"/>
    </row>
    <row r="906" ht="15" customHeight="1">
      <c r="A906" t="inlineStr">
        <is>
          <t>A 68950-2021</t>
        </is>
      </c>
      <c r="B906" s="1" t="n">
        <v>44530</v>
      </c>
      <c r="C906" s="1" t="n">
        <v>46011</v>
      </c>
      <c r="D906" t="inlineStr">
        <is>
          <t>VÄSTRA GÖTALANDS LÄN</t>
        </is>
      </c>
      <c r="E906" t="inlineStr">
        <is>
          <t>UDDEVALLA</t>
        </is>
      </c>
      <c r="G906" t="n">
        <v>11.8</v>
      </c>
      <c r="H906" t="n">
        <v>0</v>
      </c>
      <c r="I906" t="n">
        <v>0</v>
      </c>
      <c r="J906" t="n">
        <v>0</v>
      </c>
      <c r="K906" t="n">
        <v>0</v>
      </c>
      <c r="L906" t="n">
        <v>0</v>
      </c>
      <c r="M906" t="n">
        <v>0</v>
      </c>
      <c r="N906" t="n">
        <v>0</v>
      </c>
      <c r="O906" t="n">
        <v>0</v>
      </c>
      <c r="P906" t="n">
        <v>0</v>
      </c>
      <c r="Q906" t="n">
        <v>0</v>
      </c>
      <c r="R906" s="2" t="inlineStr"/>
    </row>
    <row r="907" ht="15" customHeight="1">
      <c r="A907" t="inlineStr">
        <is>
          <t>A 41964-2022</t>
        </is>
      </c>
      <c r="B907" s="1" t="n">
        <v>44830</v>
      </c>
      <c r="C907" s="1" t="n">
        <v>46011</v>
      </c>
      <c r="D907" t="inlineStr">
        <is>
          <t>VÄSTRA GÖTALANDS LÄN</t>
        </is>
      </c>
      <c r="E907" t="inlineStr">
        <is>
          <t>UDDEVALLA</t>
        </is>
      </c>
      <c r="G907" t="n">
        <v>0.6</v>
      </c>
      <c r="H907" t="n">
        <v>0</v>
      </c>
      <c r="I907" t="n">
        <v>0</v>
      </c>
      <c r="J907" t="n">
        <v>0</v>
      </c>
      <c r="K907" t="n">
        <v>0</v>
      </c>
      <c r="L907" t="n">
        <v>0</v>
      </c>
      <c r="M907" t="n">
        <v>0</v>
      </c>
      <c r="N907" t="n">
        <v>0</v>
      </c>
      <c r="O907" t="n">
        <v>0</v>
      </c>
      <c r="P907" t="n">
        <v>0</v>
      </c>
      <c r="Q907" t="n">
        <v>0</v>
      </c>
      <c r="R907" s="2" t="inlineStr"/>
    </row>
    <row r="908" ht="15" customHeight="1">
      <c r="A908" t="inlineStr">
        <is>
          <t>A 51154-2021</t>
        </is>
      </c>
      <c r="B908" s="1" t="n">
        <v>44461</v>
      </c>
      <c r="C908" s="1" t="n">
        <v>46011</v>
      </c>
      <c r="D908" t="inlineStr">
        <is>
          <t>VÄSTRA GÖTALANDS LÄN</t>
        </is>
      </c>
      <c r="E908" t="inlineStr">
        <is>
          <t>MARIESTAD</t>
        </is>
      </c>
      <c r="G908" t="n">
        <v>2.5</v>
      </c>
      <c r="H908" t="n">
        <v>0</v>
      </c>
      <c r="I908" t="n">
        <v>0</v>
      </c>
      <c r="J908" t="n">
        <v>0</v>
      </c>
      <c r="K908" t="n">
        <v>0</v>
      </c>
      <c r="L908" t="n">
        <v>0</v>
      </c>
      <c r="M908" t="n">
        <v>0</v>
      </c>
      <c r="N908" t="n">
        <v>0</v>
      </c>
      <c r="O908" t="n">
        <v>0</v>
      </c>
      <c r="P908" t="n">
        <v>0</v>
      </c>
      <c r="Q908" t="n">
        <v>0</v>
      </c>
      <c r="R908" s="2" t="inlineStr"/>
    </row>
    <row r="909" ht="15" customHeight="1">
      <c r="A909" t="inlineStr">
        <is>
          <t>A 25205-2022</t>
        </is>
      </c>
      <c r="B909" s="1" t="n">
        <v>44729</v>
      </c>
      <c r="C909" s="1" t="n">
        <v>46011</v>
      </c>
      <c r="D909" t="inlineStr">
        <is>
          <t>VÄSTRA GÖTALANDS LÄN</t>
        </is>
      </c>
      <c r="E909" t="inlineStr">
        <is>
          <t>HJO</t>
        </is>
      </c>
      <c r="F909" t="inlineStr">
        <is>
          <t>Kommuner</t>
        </is>
      </c>
      <c r="G909" t="n">
        <v>0.1</v>
      </c>
      <c r="H909" t="n">
        <v>0</v>
      </c>
      <c r="I909" t="n">
        <v>0</v>
      </c>
      <c r="J909" t="n">
        <v>0</v>
      </c>
      <c r="K909" t="n">
        <v>0</v>
      </c>
      <c r="L909" t="n">
        <v>0</v>
      </c>
      <c r="M909" t="n">
        <v>0</v>
      </c>
      <c r="N909" t="n">
        <v>0</v>
      </c>
      <c r="O909" t="n">
        <v>0</v>
      </c>
      <c r="P909" t="n">
        <v>0</v>
      </c>
      <c r="Q909" t="n">
        <v>0</v>
      </c>
      <c r="R909" s="2" t="inlineStr"/>
    </row>
    <row r="910" ht="15" customHeight="1">
      <c r="A910" t="inlineStr">
        <is>
          <t>A 52954-2021</t>
        </is>
      </c>
      <c r="B910" s="1" t="n">
        <v>44466</v>
      </c>
      <c r="C910" s="1" t="n">
        <v>46011</v>
      </c>
      <c r="D910" t="inlineStr">
        <is>
          <t>VÄSTRA GÖTALANDS LÄN</t>
        </is>
      </c>
      <c r="E910" t="inlineStr">
        <is>
          <t>LIDKÖPING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10999-2022</t>
        </is>
      </c>
      <c r="B911" s="1" t="n">
        <v>44628</v>
      </c>
      <c r="C911" s="1" t="n">
        <v>46011</v>
      </c>
      <c r="D911" t="inlineStr">
        <is>
          <t>VÄSTRA GÖTALANDS LÄN</t>
        </is>
      </c>
      <c r="E911" t="inlineStr">
        <is>
          <t>ALINGSÅS</t>
        </is>
      </c>
      <c r="G911" t="n">
        <v>6</v>
      </c>
      <c r="H911" t="n">
        <v>0</v>
      </c>
      <c r="I911" t="n">
        <v>0</v>
      </c>
      <c r="J911" t="n">
        <v>0</v>
      </c>
      <c r="K911" t="n">
        <v>0</v>
      </c>
      <c r="L911" t="n">
        <v>0</v>
      </c>
      <c r="M911" t="n">
        <v>0</v>
      </c>
      <c r="N911" t="n">
        <v>0</v>
      </c>
      <c r="O911" t="n">
        <v>0</v>
      </c>
      <c r="P911" t="n">
        <v>0</v>
      </c>
      <c r="Q911" t="n">
        <v>0</v>
      </c>
      <c r="R911" s="2" t="inlineStr"/>
    </row>
    <row r="912" ht="15" customHeight="1">
      <c r="A912" t="inlineStr">
        <is>
          <t>A 67926-2021</t>
        </is>
      </c>
      <c r="B912" s="1" t="n">
        <v>44525.61166666666</v>
      </c>
      <c r="C912" s="1" t="n">
        <v>46011</v>
      </c>
      <c r="D912" t="inlineStr">
        <is>
          <t>VÄSTRA GÖTALANDS LÄN</t>
        </is>
      </c>
      <c r="E912" t="inlineStr">
        <is>
          <t>HERRLJUNGA</t>
        </is>
      </c>
      <c r="G912" t="n">
        <v>1.4</v>
      </c>
      <c r="H912" t="n">
        <v>0</v>
      </c>
      <c r="I912" t="n">
        <v>0</v>
      </c>
      <c r="J912" t="n">
        <v>0</v>
      </c>
      <c r="K912" t="n">
        <v>0</v>
      </c>
      <c r="L912" t="n">
        <v>0</v>
      </c>
      <c r="M912" t="n">
        <v>0</v>
      </c>
      <c r="N912" t="n">
        <v>0</v>
      </c>
      <c r="O912" t="n">
        <v>0</v>
      </c>
      <c r="P912" t="n">
        <v>0</v>
      </c>
      <c r="Q912" t="n">
        <v>0</v>
      </c>
      <c r="R912" s="2" t="inlineStr"/>
    </row>
    <row r="913" ht="15" customHeight="1">
      <c r="A913" t="inlineStr">
        <is>
          <t>A 55975-2021</t>
        </is>
      </c>
      <c r="B913" s="1" t="n">
        <v>44477</v>
      </c>
      <c r="C913" s="1" t="n">
        <v>46011</v>
      </c>
      <c r="D913" t="inlineStr">
        <is>
          <t>VÄSTRA GÖTALANDS LÄN</t>
        </is>
      </c>
      <c r="E913" t="inlineStr">
        <is>
          <t>BENGTSFORS</t>
        </is>
      </c>
      <c r="G913" t="n">
        <v>0.9</v>
      </c>
      <c r="H913" t="n">
        <v>0</v>
      </c>
      <c r="I913" t="n">
        <v>0</v>
      </c>
      <c r="J913" t="n">
        <v>0</v>
      </c>
      <c r="K913" t="n">
        <v>0</v>
      </c>
      <c r="L913" t="n">
        <v>0</v>
      </c>
      <c r="M913" t="n">
        <v>0</v>
      </c>
      <c r="N913" t="n">
        <v>0</v>
      </c>
      <c r="O913" t="n">
        <v>0</v>
      </c>
      <c r="P913" t="n">
        <v>0</v>
      </c>
      <c r="Q913" t="n">
        <v>0</v>
      </c>
      <c r="R913" s="2" t="inlineStr"/>
    </row>
    <row r="914" ht="15" customHeight="1">
      <c r="A914" t="inlineStr">
        <is>
          <t>A 58883-2021</t>
        </is>
      </c>
      <c r="B914" s="1" t="n">
        <v>44489.65511574074</v>
      </c>
      <c r="C914" s="1" t="n">
        <v>46011</v>
      </c>
      <c r="D914" t="inlineStr">
        <is>
          <t>VÄSTRA GÖTALANDS LÄN</t>
        </is>
      </c>
      <c r="E914" t="inlineStr">
        <is>
          <t>ÅMÅL</t>
        </is>
      </c>
      <c r="G914" t="n">
        <v>3.6</v>
      </c>
      <c r="H914" t="n">
        <v>0</v>
      </c>
      <c r="I914" t="n">
        <v>0</v>
      </c>
      <c r="J914" t="n">
        <v>0</v>
      </c>
      <c r="K914" t="n">
        <v>0</v>
      </c>
      <c r="L914" t="n">
        <v>0</v>
      </c>
      <c r="M914" t="n">
        <v>0</v>
      </c>
      <c r="N914" t="n">
        <v>0</v>
      </c>
      <c r="O914" t="n">
        <v>0</v>
      </c>
      <c r="P914" t="n">
        <v>0</v>
      </c>
      <c r="Q914" t="n">
        <v>0</v>
      </c>
      <c r="R914" s="2" t="inlineStr"/>
    </row>
    <row r="915" ht="15" customHeight="1">
      <c r="A915" t="inlineStr">
        <is>
          <t>A 45855-2021</t>
        </is>
      </c>
      <c r="B915" s="1" t="n">
        <v>44441</v>
      </c>
      <c r="C915" s="1" t="n">
        <v>46011</v>
      </c>
      <c r="D915" t="inlineStr">
        <is>
          <t>VÄSTRA GÖTALANDS LÄN</t>
        </is>
      </c>
      <c r="E915" t="inlineStr">
        <is>
          <t>ÅMÅL</t>
        </is>
      </c>
      <c r="G915" t="n">
        <v>3.6</v>
      </c>
      <c r="H915" t="n">
        <v>0</v>
      </c>
      <c r="I915" t="n">
        <v>0</v>
      </c>
      <c r="J915" t="n">
        <v>0</v>
      </c>
      <c r="K915" t="n">
        <v>0</v>
      </c>
      <c r="L915" t="n">
        <v>0</v>
      </c>
      <c r="M915" t="n">
        <v>0</v>
      </c>
      <c r="N915" t="n">
        <v>0</v>
      </c>
      <c r="O915" t="n">
        <v>0</v>
      </c>
      <c r="P915" t="n">
        <v>0</v>
      </c>
      <c r="Q915" t="n">
        <v>0</v>
      </c>
      <c r="R915" s="2" t="inlineStr"/>
    </row>
    <row r="916" ht="15" customHeight="1">
      <c r="A916" t="inlineStr">
        <is>
          <t>A 64665-2021</t>
        </is>
      </c>
      <c r="B916" s="1" t="n">
        <v>44512</v>
      </c>
      <c r="C916" s="1" t="n">
        <v>46011</v>
      </c>
      <c r="D916" t="inlineStr">
        <is>
          <t>VÄSTRA GÖTALANDS LÄN</t>
        </is>
      </c>
      <c r="E916" t="inlineStr">
        <is>
          <t>BORÅS</t>
        </is>
      </c>
      <c r="G916" t="n">
        <v>2.1</v>
      </c>
      <c r="H916" t="n">
        <v>0</v>
      </c>
      <c r="I916" t="n">
        <v>0</v>
      </c>
      <c r="J916" t="n">
        <v>0</v>
      </c>
      <c r="K916" t="n">
        <v>0</v>
      </c>
      <c r="L916" t="n">
        <v>0</v>
      </c>
      <c r="M916" t="n">
        <v>0</v>
      </c>
      <c r="N916" t="n">
        <v>0</v>
      </c>
      <c r="O916" t="n">
        <v>0</v>
      </c>
      <c r="P916" t="n">
        <v>0</v>
      </c>
      <c r="Q916" t="n">
        <v>0</v>
      </c>
      <c r="R916" s="2" t="inlineStr"/>
    </row>
    <row r="917" ht="15" customHeight="1">
      <c r="A917" t="inlineStr">
        <is>
          <t>A 11853-2021</t>
        </is>
      </c>
      <c r="B917" s="1" t="n">
        <v>44265</v>
      </c>
      <c r="C917" s="1" t="n">
        <v>46011</v>
      </c>
      <c r="D917" t="inlineStr">
        <is>
          <t>VÄSTRA GÖTALANDS LÄN</t>
        </is>
      </c>
      <c r="E917" t="inlineStr">
        <is>
          <t>TIDAHOLM</t>
        </is>
      </c>
      <c r="G917" t="n">
        <v>2.7</v>
      </c>
      <c r="H917" t="n">
        <v>0</v>
      </c>
      <c r="I917" t="n">
        <v>0</v>
      </c>
      <c r="J917" t="n">
        <v>0</v>
      </c>
      <c r="K917" t="n">
        <v>0</v>
      </c>
      <c r="L917" t="n">
        <v>0</v>
      </c>
      <c r="M917" t="n">
        <v>0</v>
      </c>
      <c r="N917" t="n">
        <v>0</v>
      </c>
      <c r="O917" t="n">
        <v>0</v>
      </c>
      <c r="P917" t="n">
        <v>0</v>
      </c>
      <c r="Q917" t="n">
        <v>0</v>
      </c>
      <c r="R917" s="2" t="inlineStr"/>
    </row>
    <row r="918" ht="15" customHeight="1">
      <c r="A918" t="inlineStr">
        <is>
          <t>A 34864-2021</t>
        </is>
      </c>
      <c r="B918" s="1" t="n">
        <v>44383</v>
      </c>
      <c r="C918" s="1" t="n">
        <v>46011</v>
      </c>
      <c r="D918" t="inlineStr">
        <is>
          <t>VÄSTRA GÖTALANDS LÄN</t>
        </is>
      </c>
      <c r="E918" t="inlineStr">
        <is>
          <t>MARIESTAD</t>
        </is>
      </c>
      <c r="G918" t="n">
        <v>1.3</v>
      </c>
      <c r="H918" t="n">
        <v>0</v>
      </c>
      <c r="I918" t="n">
        <v>0</v>
      </c>
      <c r="J918" t="n">
        <v>0</v>
      </c>
      <c r="K918" t="n">
        <v>0</v>
      </c>
      <c r="L918" t="n">
        <v>0</v>
      </c>
      <c r="M918" t="n">
        <v>0</v>
      </c>
      <c r="N918" t="n">
        <v>0</v>
      </c>
      <c r="O918" t="n">
        <v>0</v>
      </c>
      <c r="P918" t="n">
        <v>0</v>
      </c>
      <c r="Q918" t="n">
        <v>0</v>
      </c>
      <c r="R918" s="2" t="inlineStr"/>
    </row>
    <row r="919" ht="15" customHeight="1">
      <c r="A919" t="inlineStr">
        <is>
          <t>A 53007-2021</t>
        </is>
      </c>
      <c r="B919" s="1" t="n">
        <v>44467</v>
      </c>
      <c r="C919" s="1" t="n">
        <v>46011</v>
      </c>
      <c r="D919" t="inlineStr">
        <is>
          <t>VÄSTRA GÖTALANDS LÄN</t>
        </is>
      </c>
      <c r="E919" t="inlineStr">
        <is>
          <t>VÄNERSBORG</t>
        </is>
      </c>
      <c r="G919" t="n">
        <v>0.9</v>
      </c>
      <c r="H919" t="n">
        <v>0</v>
      </c>
      <c r="I919" t="n">
        <v>0</v>
      </c>
      <c r="J919" t="n">
        <v>0</v>
      </c>
      <c r="K919" t="n">
        <v>0</v>
      </c>
      <c r="L919" t="n">
        <v>0</v>
      </c>
      <c r="M919" t="n">
        <v>0</v>
      </c>
      <c r="N919" t="n">
        <v>0</v>
      </c>
      <c r="O919" t="n">
        <v>0</v>
      </c>
      <c r="P919" t="n">
        <v>0</v>
      </c>
      <c r="Q919" t="n">
        <v>0</v>
      </c>
      <c r="R919" s="2" t="inlineStr"/>
    </row>
    <row r="920" ht="15" customHeight="1">
      <c r="A920" t="inlineStr">
        <is>
          <t>A 8777-2022</t>
        </is>
      </c>
      <c r="B920" s="1" t="n">
        <v>44614</v>
      </c>
      <c r="C920" s="1" t="n">
        <v>46011</v>
      </c>
      <c r="D920" t="inlineStr">
        <is>
          <t>VÄSTRA GÖTALANDS LÄN</t>
        </is>
      </c>
      <c r="E920" t="inlineStr">
        <is>
          <t>ALINGSÅS</t>
        </is>
      </c>
      <c r="G920" t="n">
        <v>4.8</v>
      </c>
      <c r="H920" t="n">
        <v>0</v>
      </c>
      <c r="I920" t="n">
        <v>0</v>
      </c>
      <c r="J920" t="n">
        <v>0</v>
      </c>
      <c r="K920" t="n">
        <v>0</v>
      </c>
      <c r="L920" t="n">
        <v>0</v>
      </c>
      <c r="M920" t="n">
        <v>0</v>
      </c>
      <c r="N920" t="n">
        <v>0</v>
      </c>
      <c r="O920" t="n">
        <v>0</v>
      </c>
      <c r="P920" t="n">
        <v>0</v>
      </c>
      <c r="Q920" t="n">
        <v>0</v>
      </c>
      <c r="R920" s="2" t="inlineStr"/>
    </row>
    <row r="921" ht="15" customHeight="1">
      <c r="A921" t="inlineStr">
        <is>
          <t>A 2669-2021</t>
        </is>
      </c>
      <c r="B921" s="1" t="n">
        <v>44215</v>
      </c>
      <c r="C921" s="1" t="n">
        <v>46011</v>
      </c>
      <c r="D921" t="inlineStr">
        <is>
          <t>VÄSTRA GÖTALANDS LÄN</t>
        </is>
      </c>
      <c r="E921" t="inlineStr">
        <is>
          <t>FALKÖPING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33922-2022</t>
        </is>
      </c>
      <c r="B922" s="1" t="n">
        <v>44790</v>
      </c>
      <c r="C922" s="1" t="n">
        <v>46011</v>
      </c>
      <c r="D922" t="inlineStr">
        <is>
          <t>VÄSTRA GÖTALANDS LÄN</t>
        </is>
      </c>
      <c r="E922" t="inlineStr">
        <is>
          <t>LERUM</t>
        </is>
      </c>
      <c r="G922" t="n">
        <v>6.1</v>
      </c>
      <c r="H922" t="n">
        <v>0</v>
      </c>
      <c r="I922" t="n">
        <v>0</v>
      </c>
      <c r="J922" t="n">
        <v>0</v>
      </c>
      <c r="K922" t="n">
        <v>0</v>
      </c>
      <c r="L922" t="n">
        <v>0</v>
      </c>
      <c r="M922" t="n">
        <v>0</v>
      </c>
      <c r="N922" t="n">
        <v>0</v>
      </c>
      <c r="O922" t="n">
        <v>0</v>
      </c>
      <c r="P922" t="n">
        <v>0</v>
      </c>
      <c r="Q922" t="n">
        <v>0</v>
      </c>
      <c r="R922" s="2" t="inlineStr"/>
    </row>
    <row r="923" ht="15" customHeight="1">
      <c r="A923" t="inlineStr">
        <is>
          <t>A 33954-2022</t>
        </is>
      </c>
      <c r="B923" s="1" t="n">
        <v>44790</v>
      </c>
      <c r="C923" s="1" t="n">
        <v>46011</v>
      </c>
      <c r="D923" t="inlineStr">
        <is>
          <t>VÄSTRA GÖTALANDS LÄN</t>
        </is>
      </c>
      <c r="E923" t="inlineStr">
        <is>
          <t>ORUST</t>
        </is>
      </c>
      <c r="G923" t="n">
        <v>3.9</v>
      </c>
      <c r="H923" t="n">
        <v>0</v>
      </c>
      <c r="I923" t="n">
        <v>0</v>
      </c>
      <c r="J923" t="n">
        <v>0</v>
      </c>
      <c r="K923" t="n">
        <v>0</v>
      </c>
      <c r="L923" t="n">
        <v>0</v>
      </c>
      <c r="M923" t="n">
        <v>0</v>
      </c>
      <c r="N923" t="n">
        <v>0</v>
      </c>
      <c r="O923" t="n">
        <v>0</v>
      </c>
      <c r="P923" t="n">
        <v>0</v>
      </c>
      <c r="Q923" t="n">
        <v>0</v>
      </c>
      <c r="R923" s="2" t="inlineStr"/>
    </row>
    <row r="924" ht="15" customHeight="1">
      <c r="A924" t="inlineStr">
        <is>
          <t>A 49432-2022</t>
        </is>
      </c>
      <c r="B924" s="1" t="n">
        <v>44861.65420138889</v>
      </c>
      <c r="C924" s="1" t="n">
        <v>46011</v>
      </c>
      <c r="D924" t="inlineStr">
        <is>
          <t>VÄSTRA GÖTALANDS LÄN</t>
        </is>
      </c>
      <c r="E924" t="inlineStr">
        <is>
          <t>ULRICEHAMN</t>
        </is>
      </c>
      <c r="G924" t="n">
        <v>1.9</v>
      </c>
      <c r="H924" t="n">
        <v>0</v>
      </c>
      <c r="I924" t="n">
        <v>0</v>
      </c>
      <c r="J924" t="n">
        <v>0</v>
      </c>
      <c r="K924" t="n">
        <v>0</v>
      </c>
      <c r="L924" t="n">
        <v>0</v>
      </c>
      <c r="M924" t="n">
        <v>0</v>
      </c>
      <c r="N924" t="n">
        <v>0</v>
      </c>
      <c r="O924" t="n">
        <v>0</v>
      </c>
      <c r="P924" t="n">
        <v>0</v>
      </c>
      <c r="Q924" t="n">
        <v>0</v>
      </c>
      <c r="R924" s="2" t="inlineStr"/>
    </row>
    <row r="925" ht="15" customHeight="1">
      <c r="A925" t="inlineStr">
        <is>
          <t>A 43338-2021</t>
        </is>
      </c>
      <c r="B925" s="1" t="n">
        <v>44431</v>
      </c>
      <c r="C925" s="1" t="n">
        <v>46011</v>
      </c>
      <c r="D925" t="inlineStr">
        <is>
          <t>VÄSTRA GÖTALANDS LÄN</t>
        </is>
      </c>
      <c r="E925" t="inlineStr">
        <is>
          <t>TIDAHOLM</t>
        </is>
      </c>
      <c r="G925" t="n">
        <v>1.4</v>
      </c>
      <c r="H925" t="n">
        <v>0</v>
      </c>
      <c r="I925" t="n">
        <v>0</v>
      </c>
      <c r="J925" t="n">
        <v>0</v>
      </c>
      <c r="K925" t="n">
        <v>0</v>
      </c>
      <c r="L925" t="n">
        <v>0</v>
      </c>
      <c r="M925" t="n">
        <v>0</v>
      </c>
      <c r="N925" t="n">
        <v>0</v>
      </c>
      <c r="O925" t="n">
        <v>0</v>
      </c>
      <c r="P925" t="n">
        <v>0</v>
      </c>
      <c r="Q925" t="n">
        <v>0</v>
      </c>
      <c r="R925" s="2" t="inlineStr"/>
    </row>
    <row r="926" ht="15" customHeight="1">
      <c r="A926" t="inlineStr">
        <is>
          <t>A 43345-2021</t>
        </is>
      </c>
      <c r="B926" s="1" t="n">
        <v>44432.49570601852</v>
      </c>
      <c r="C926" s="1" t="n">
        <v>46011</v>
      </c>
      <c r="D926" t="inlineStr">
        <is>
          <t>VÄSTRA GÖTALANDS LÄN</t>
        </is>
      </c>
      <c r="E926" t="inlineStr">
        <is>
          <t>GÖTENE</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14715-2022</t>
        </is>
      </c>
      <c r="B927" s="1" t="n">
        <v>44656.34143518518</v>
      </c>
      <c r="C927" s="1" t="n">
        <v>46011</v>
      </c>
      <c r="D927" t="inlineStr">
        <is>
          <t>VÄSTRA GÖTALANDS LÄN</t>
        </is>
      </c>
      <c r="E927" t="inlineStr">
        <is>
          <t>BORÅS</t>
        </is>
      </c>
      <c r="G927" t="n">
        <v>1.8</v>
      </c>
      <c r="H927" t="n">
        <v>0</v>
      </c>
      <c r="I927" t="n">
        <v>0</v>
      </c>
      <c r="J927" t="n">
        <v>0</v>
      </c>
      <c r="K927" t="n">
        <v>0</v>
      </c>
      <c r="L927" t="n">
        <v>0</v>
      </c>
      <c r="M927" t="n">
        <v>0</v>
      </c>
      <c r="N927" t="n">
        <v>0</v>
      </c>
      <c r="O927" t="n">
        <v>0</v>
      </c>
      <c r="P927" t="n">
        <v>0</v>
      </c>
      <c r="Q927" t="n">
        <v>0</v>
      </c>
      <c r="R927" s="2" t="inlineStr"/>
    </row>
    <row r="928" ht="15" customHeight="1">
      <c r="A928" t="inlineStr">
        <is>
          <t>A 14105-2022</t>
        </is>
      </c>
      <c r="B928" s="1" t="n">
        <v>44651</v>
      </c>
      <c r="C928" s="1" t="n">
        <v>46011</v>
      </c>
      <c r="D928" t="inlineStr">
        <is>
          <t>VÄSTRA GÖTALANDS LÄN</t>
        </is>
      </c>
      <c r="E928" t="inlineStr">
        <is>
          <t>STRÖMSTAD</t>
        </is>
      </c>
      <c r="G928" t="n">
        <v>9.5</v>
      </c>
      <c r="H928" t="n">
        <v>0</v>
      </c>
      <c r="I928" t="n">
        <v>0</v>
      </c>
      <c r="J928" t="n">
        <v>0</v>
      </c>
      <c r="K928" t="n">
        <v>0</v>
      </c>
      <c r="L928" t="n">
        <v>0</v>
      </c>
      <c r="M928" t="n">
        <v>0</v>
      </c>
      <c r="N928" t="n">
        <v>0</v>
      </c>
      <c r="O928" t="n">
        <v>0</v>
      </c>
      <c r="P928" t="n">
        <v>0</v>
      </c>
      <c r="Q928" t="n">
        <v>0</v>
      </c>
      <c r="R928" s="2" t="inlineStr"/>
    </row>
    <row r="929" ht="15" customHeight="1">
      <c r="A929" t="inlineStr">
        <is>
          <t>A 1476-2022</t>
        </is>
      </c>
      <c r="B929" s="1" t="n">
        <v>44573</v>
      </c>
      <c r="C929" s="1" t="n">
        <v>46011</v>
      </c>
      <c r="D929" t="inlineStr">
        <is>
          <t>VÄSTRA GÖTALANDS LÄN</t>
        </is>
      </c>
      <c r="E929" t="inlineStr">
        <is>
          <t>TIDAHOLM</t>
        </is>
      </c>
      <c r="G929" t="n">
        <v>1.5</v>
      </c>
      <c r="H929" t="n">
        <v>0</v>
      </c>
      <c r="I929" t="n">
        <v>0</v>
      </c>
      <c r="J929" t="n">
        <v>0</v>
      </c>
      <c r="K929" t="n">
        <v>0</v>
      </c>
      <c r="L929" t="n">
        <v>0</v>
      </c>
      <c r="M929" t="n">
        <v>0</v>
      </c>
      <c r="N929" t="n">
        <v>0</v>
      </c>
      <c r="O929" t="n">
        <v>0</v>
      </c>
      <c r="P929" t="n">
        <v>0</v>
      </c>
      <c r="Q929" t="n">
        <v>0</v>
      </c>
      <c r="R929" s="2" t="inlineStr"/>
    </row>
    <row r="930" ht="15" customHeight="1">
      <c r="A930" t="inlineStr">
        <is>
          <t>A 2003-2021</t>
        </is>
      </c>
      <c r="B930" s="1" t="n">
        <v>44210</v>
      </c>
      <c r="C930" s="1" t="n">
        <v>46011</v>
      </c>
      <c r="D930" t="inlineStr">
        <is>
          <t>VÄSTRA GÖTALANDS LÄN</t>
        </is>
      </c>
      <c r="E930" t="inlineStr">
        <is>
          <t>ALE</t>
        </is>
      </c>
      <c r="F930" t="inlineStr">
        <is>
          <t>Kommuner</t>
        </is>
      </c>
      <c r="G930" t="n">
        <v>0.6</v>
      </c>
      <c r="H930" t="n">
        <v>0</v>
      </c>
      <c r="I930" t="n">
        <v>0</v>
      </c>
      <c r="J930" t="n">
        <v>0</v>
      </c>
      <c r="K930" t="n">
        <v>0</v>
      </c>
      <c r="L930" t="n">
        <v>0</v>
      </c>
      <c r="M930" t="n">
        <v>0</v>
      </c>
      <c r="N930" t="n">
        <v>0</v>
      </c>
      <c r="O930" t="n">
        <v>0</v>
      </c>
      <c r="P930" t="n">
        <v>0</v>
      </c>
      <c r="Q930" t="n">
        <v>0</v>
      </c>
      <c r="R930" s="2" t="inlineStr"/>
    </row>
    <row r="931" ht="15" customHeight="1">
      <c r="A931" t="inlineStr">
        <is>
          <t>A 1640-2022</t>
        </is>
      </c>
      <c r="B931" s="1" t="n">
        <v>44574</v>
      </c>
      <c r="C931" s="1" t="n">
        <v>46011</v>
      </c>
      <c r="D931" t="inlineStr">
        <is>
          <t>VÄSTRA GÖTALANDS LÄN</t>
        </is>
      </c>
      <c r="E931" t="inlineStr">
        <is>
          <t>MARIESTAD</t>
        </is>
      </c>
      <c r="G931" t="n">
        <v>6</v>
      </c>
      <c r="H931" t="n">
        <v>0</v>
      </c>
      <c r="I931" t="n">
        <v>0</v>
      </c>
      <c r="J931" t="n">
        <v>0</v>
      </c>
      <c r="K931" t="n">
        <v>0</v>
      </c>
      <c r="L931" t="n">
        <v>0</v>
      </c>
      <c r="M931" t="n">
        <v>0</v>
      </c>
      <c r="N931" t="n">
        <v>0</v>
      </c>
      <c r="O931" t="n">
        <v>0</v>
      </c>
      <c r="P931" t="n">
        <v>0</v>
      </c>
      <c r="Q931" t="n">
        <v>0</v>
      </c>
      <c r="R931" s="2" t="inlineStr"/>
    </row>
    <row r="932" ht="15" customHeight="1">
      <c r="A932" t="inlineStr">
        <is>
          <t>A 64832-2021</t>
        </is>
      </c>
      <c r="B932" s="1" t="n">
        <v>44512</v>
      </c>
      <c r="C932" s="1" t="n">
        <v>46011</v>
      </c>
      <c r="D932" t="inlineStr">
        <is>
          <t>VÄSTRA GÖTALANDS LÄN</t>
        </is>
      </c>
      <c r="E932" t="inlineStr">
        <is>
          <t>ULRICEHAMN</t>
        </is>
      </c>
      <c r="G932" t="n">
        <v>19.4</v>
      </c>
      <c r="H932" t="n">
        <v>0</v>
      </c>
      <c r="I932" t="n">
        <v>0</v>
      </c>
      <c r="J932" t="n">
        <v>0</v>
      </c>
      <c r="K932" t="n">
        <v>0</v>
      </c>
      <c r="L932" t="n">
        <v>0</v>
      </c>
      <c r="M932" t="n">
        <v>0</v>
      </c>
      <c r="N932" t="n">
        <v>0</v>
      </c>
      <c r="O932" t="n">
        <v>0</v>
      </c>
      <c r="P932" t="n">
        <v>0</v>
      </c>
      <c r="Q932" t="n">
        <v>0</v>
      </c>
      <c r="R932" s="2" t="inlineStr"/>
    </row>
    <row r="933" ht="15" customHeight="1">
      <c r="A933" t="inlineStr">
        <is>
          <t>A 32317-2022</t>
        </is>
      </c>
      <c r="B933" s="1" t="n">
        <v>44781.66103009259</v>
      </c>
      <c r="C933" s="1" t="n">
        <v>46011</v>
      </c>
      <c r="D933" t="inlineStr">
        <is>
          <t>VÄSTRA GÖTALANDS LÄN</t>
        </is>
      </c>
      <c r="E933" t="inlineStr">
        <is>
          <t>DALS-ED</t>
        </is>
      </c>
      <c r="G933" t="n">
        <v>0.5</v>
      </c>
      <c r="H933" t="n">
        <v>0</v>
      </c>
      <c r="I933" t="n">
        <v>0</v>
      </c>
      <c r="J933" t="n">
        <v>0</v>
      </c>
      <c r="K933" t="n">
        <v>0</v>
      </c>
      <c r="L933" t="n">
        <v>0</v>
      </c>
      <c r="M933" t="n">
        <v>0</v>
      </c>
      <c r="N933" t="n">
        <v>0</v>
      </c>
      <c r="O933" t="n">
        <v>0</v>
      </c>
      <c r="P933" t="n">
        <v>0</v>
      </c>
      <c r="Q933" t="n">
        <v>0</v>
      </c>
      <c r="R933" s="2" t="inlineStr"/>
    </row>
    <row r="934" ht="15" customHeight="1">
      <c r="A934" t="inlineStr">
        <is>
          <t>A 29162-2022</t>
        </is>
      </c>
      <c r="B934" s="1" t="n">
        <v>44750</v>
      </c>
      <c r="C934" s="1" t="n">
        <v>46011</v>
      </c>
      <c r="D934" t="inlineStr">
        <is>
          <t>VÄSTRA GÖTALANDS LÄN</t>
        </is>
      </c>
      <c r="E934" t="inlineStr">
        <is>
          <t>BENGTSFORS</t>
        </is>
      </c>
      <c r="G934" t="n">
        <v>5.9</v>
      </c>
      <c r="H934" t="n">
        <v>0</v>
      </c>
      <c r="I934" t="n">
        <v>0</v>
      </c>
      <c r="J934" t="n">
        <v>0</v>
      </c>
      <c r="K934" t="n">
        <v>0</v>
      </c>
      <c r="L934" t="n">
        <v>0</v>
      </c>
      <c r="M934" t="n">
        <v>0</v>
      </c>
      <c r="N934" t="n">
        <v>0</v>
      </c>
      <c r="O934" t="n">
        <v>0</v>
      </c>
      <c r="P934" t="n">
        <v>0</v>
      </c>
      <c r="Q934" t="n">
        <v>0</v>
      </c>
      <c r="R934" s="2" t="inlineStr"/>
    </row>
    <row r="935" ht="15" customHeight="1">
      <c r="A935" t="inlineStr">
        <is>
          <t>A 45101-2022</t>
        </is>
      </c>
      <c r="B935" s="1" t="n">
        <v>44843.43189814815</v>
      </c>
      <c r="C935" s="1" t="n">
        <v>46011</v>
      </c>
      <c r="D935" t="inlineStr">
        <is>
          <t>VÄSTRA GÖTALANDS LÄN</t>
        </is>
      </c>
      <c r="E935" t="inlineStr">
        <is>
          <t>MARK</t>
        </is>
      </c>
      <c r="G935" t="n">
        <v>0.6</v>
      </c>
      <c r="H935" t="n">
        <v>0</v>
      </c>
      <c r="I935" t="n">
        <v>0</v>
      </c>
      <c r="J935" t="n">
        <v>0</v>
      </c>
      <c r="K935" t="n">
        <v>0</v>
      </c>
      <c r="L935" t="n">
        <v>0</v>
      </c>
      <c r="M935" t="n">
        <v>0</v>
      </c>
      <c r="N935" t="n">
        <v>0</v>
      </c>
      <c r="O935" t="n">
        <v>0</v>
      </c>
      <c r="P935" t="n">
        <v>0</v>
      </c>
      <c r="Q935" t="n">
        <v>0</v>
      </c>
      <c r="R935" s="2" t="inlineStr"/>
    </row>
    <row r="936" ht="15" customHeight="1">
      <c r="A936" t="inlineStr">
        <is>
          <t>A 6287-2022</t>
        </is>
      </c>
      <c r="B936" s="1" t="n">
        <v>44600.48700231482</v>
      </c>
      <c r="C936" s="1" t="n">
        <v>46011</v>
      </c>
      <c r="D936" t="inlineStr">
        <is>
          <t>VÄSTRA GÖTALANDS LÄN</t>
        </is>
      </c>
      <c r="E936" t="inlineStr">
        <is>
          <t>VARA</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24185-2022</t>
        </is>
      </c>
      <c r="B937" s="1" t="n">
        <v>44725.54923611111</v>
      </c>
      <c r="C937" s="1" t="n">
        <v>46011</v>
      </c>
      <c r="D937" t="inlineStr">
        <is>
          <t>VÄSTRA GÖTALANDS LÄN</t>
        </is>
      </c>
      <c r="E937" t="inlineStr">
        <is>
          <t>BENGTSFORS</t>
        </is>
      </c>
      <c r="G937" t="n">
        <v>0.5</v>
      </c>
      <c r="H937" t="n">
        <v>0</v>
      </c>
      <c r="I937" t="n">
        <v>0</v>
      </c>
      <c r="J937" t="n">
        <v>0</v>
      </c>
      <c r="K937" t="n">
        <v>0</v>
      </c>
      <c r="L937" t="n">
        <v>0</v>
      </c>
      <c r="M937" t="n">
        <v>0</v>
      </c>
      <c r="N937" t="n">
        <v>0</v>
      </c>
      <c r="O937" t="n">
        <v>0</v>
      </c>
      <c r="P937" t="n">
        <v>0</v>
      </c>
      <c r="Q937" t="n">
        <v>0</v>
      </c>
      <c r="R937" s="2" t="inlineStr"/>
    </row>
    <row r="938" ht="15" customHeight="1">
      <c r="A938" t="inlineStr">
        <is>
          <t>A 55830-2022</t>
        </is>
      </c>
      <c r="B938" s="1" t="n">
        <v>44886</v>
      </c>
      <c r="C938" s="1" t="n">
        <v>46011</v>
      </c>
      <c r="D938" t="inlineStr">
        <is>
          <t>VÄSTRA GÖTALANDS LÄN</t>
        </is>
      </c>
      <c r="E938" t="inlineStr">
        <is>
          <t>TRANEMO</t>
        </is>
      </c>
      <c r="F938" t="inlineStr">
        <is>
          <t>Kommuner</t>
        </is>
      </c>
      <c r="G938" t="n">
        <v>4</v>
      </c>
      <c r="H938" t="n">
        <v>0</v>
      </c>
      <c r="I938" t="n">
        <v>0</v>
      </c>
      <c r="J938" t="n">
        <v>0</v>
      </c>
      <c r="K938" t="n">
        <v>0</v>
      </c>
      <c r="L938" t="n">
        <v>0</v>
      </c>
      <c r="M938" t="n">
        <v>0</v>
      </c>
      <c r="N938" t="n">
        <v>0</v>
      </c>
      <c r="O938" t="n">
        <v>0</v>
      </c>
      <c r="P938" t="n">
        <v>0</v>
      </c>
      <c r="Q938" t="n">
        <v>0</v>
      </c>
      <c r="R938" s="2" t="inlineStr"/>
    </row>
    <row r="939" ht="15" customHeight="1">
      <c r="A939" t="inlineStr">
        <is>
          <t>A 17430-2022</t>
        </is>
      </c>
      <c r="B939" s="1" t="n">
        <v>44679</v>
      </c>
      <c r="C939" s="1" t="n">
        <v>46011</v>
      </c>
      <c r="D939" t="inlineStr">
        <is>
          <t>VÄSTRA GÖTALANDS LÄN</t>
        </is>
      </c>
      <c r="E939" t="inlineStr">
        <is>
          <t>ULRICEHAMN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28099-2022</t>
        </is>
      </c>
      <c r="B940" s="1" t="n">
        <v>44746.47386574074</v>
      </c>
      <c r="C940" s="1" t="n">
        <v>46011</v>
      </c>
      <c r="D940" t="inlineStr">
        <is>
          <t>VÄSTRA GÖTALANDS LÄN</t>
        </is>
      </c>
      <c r="E940" t="inlineStr">
        <is>
          <t>MARIESTAD</t>
        </is>
      </c>
      <c r="G940" t="n">
        <v>0.4</v>
      </c>
      <c r="H940" t="n">
        <v>0</v>
      </c>
      <c r="I940" t="n">
        <v>0</v>
      </c>
      <c r="J940" t="n">
        <v>0</v>
      </c>
      <c r="K940" t="n">
        <v>0</v>
      </c>
      <c r="L940" t="n">
        <v>0</v>
      </c>
      <c r="M940" t="n">
        <v>0</v>
      </c>
      <c r="N940" t="n">
        <v>0</v>
      </c>
      <c r="O940" t="n">
        <v>0</v>
      </c>
      <c r="P940" t="n">
        <v>0</v>
      </c>
      <c r="Q940" t="n">
        <v>0</v>
      </c>
      <c r="R940" s="2" t="inlineStr"/>
    </row>
    <row r="941" ht="15" customHeight="1">
      <c r="A941" t="inlineStr">
        <is>
          <t>A 42620-2022</t>
        </is>
      </c>
      <c r="B941" s="1" t="n">
        <v>44831</v>
      </c>
      <c r="C941" s="1" t="n">
        <v>46011</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44464-2022</t>
        </is>
      </c>
      <c r="B942" s="1" t="n">
        <v>44840.30342592593</v>
      </c>
      <c r="C942" s="1" t="n">
        <v>46011</v>
      </c>
      <c r="D942" t="inlineStr">
        <is>
          <t>VÄSTRA GÖTALANDS LÄN</t>
        </is>
      </c>
      <c r="E942" t="inlineStr">
        <is>
          <t>MARIESTAD</t>
        </is>
      </c>
      <c r="G942" t="n">
        <v>3.7</v>
      </c>
      <c r="H942" t="n">
        <v>0</v>
      </c>
      <c r="I942" t="n">
        <v>0</v>
      </c>
      <c r="J942" t="n">
        <v>0</v>
      </c>
      <c r="K942" t="n">
        <v>0</v>
      </c>
      <c r="L942" t="n">
        <v>0</v>
      </c>
      <c r="M942" t="n">
        <v>0</v>
      </c>
      <c r="N942" t="n">
        <v>0</v>
      </c>
      <c r="O942" t="n">
        <v>0</v>
      </c>
      <c r="P942" t="n">
        <v>0</v>
      </c>
      <c r="Q942" t="n">
        <v>0</v>
      </c>
      <c r="R942" s="2" t="inlineStr"/>
    </row>
    <row r="943" ht="15" customHeight="1">
      <c r="A943" t="inlineStr">
        <is>
          <t>A 2981-2021</t>
        </is>
      </c>
      <c r="B943" s="1" t="n">
        <v>44216</v>
      </c>
      <c r="C943" s="1" t="n">
        <v>46011</v>
      </c>
      <c r="D943" t="inlineStr">
        <is>
          <t>VÄSTRA GÖTALANDS LÄN</t>
        </is>
      </c>
      <c r="E943" t="inlineStr">
        <is>
          <t>MARK</t>
        </is>
      </c>
      <c r="G943" t="n">
        <v>6.8</v>
      </c>
      <c r="H943" t="n">
        <v>0</v>
      </c>
      <c r="I943" t="n">
        <v>0</v>
      </c>
      <c r="J943" t="n">
        <v>0</v>
      </c>
      <c r="K943" t="n">
        <v>0</v>
      </c>
      <c r="L943" t="n">
        <v>0</v>
      </c>
      <c r="M943" t="n">
        <v>0</v>
      </c>
      <c r="N943" t="n">
        <v>0</v>
      </c>
      <c r="O943" t="n">
        <v>0</v>
      </c>
      <c r="P943" t="n">
        <v>0</v>
      </c>
      <c r="Q943" t="n">
        <v>0</v>
      </c>
      <c r="R943" s="2" t="inlineStr"/>
    </row>
    <row r="944" ht="15" customHeight="1">
      <c r="A944" t="inlineStr">
        <is>
          <t>A 36413-2021</t>
        </is>
      </c>
      <c r="B944" s="1" t="n">
        <v>44390.66479166667</v>
      </c>
      <c r="C944" s="1" t="n">
        <v>46011</v>
      </c>
      <c r="D944" t="inlineStr">
        <is>
          <t>VÄSTRA GÖTALANDS LÄN</t>
        </is>
      </c>
      <c r="E944" t="inlineStr">
        <is>
          <t>SVENLJUNGA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55136-2021</t>
        </is>
      </c>
      <c r="B945" s="1" t="n">
        <v>44474</v>
      </c>
      <c r="C945" s="1" t="n">
        <v>46011</v>
      </c>
      <c r="D945" t="inlineStr">
        <is>
          <t>VÄSTRA GÖTALANDS LÄN</t>
        </is>
      </c>
      <c r="E945" t="inlineStr">
        <is>
          <t>ULRICEHAMN</t>
        </is>
      </c>
      <c r="G945" t="n">
        <v>1.2</v>
      </c>
      <c r="H945" t="n">
        <v>0</v>
      </c>
      <c r="I945" t="n">
        <v>0</v>
      </c>
      <c r="J945" t="n">
        <v>0</v>
      </c>
      <c r="K945" t="n">
        <v>0</v>
      </c>
      <c r="L945" t="n">
        <v>0</v>
      </c>
      <c r="M945" t="n">
        <v>0</v>
      </c>
      <c r="N945" t="n">
        <v>0</v>
      </c>
      <c r="O945" t="n">
        <v>0</v>
      </c>
      <c r="P945" t="n">
        <v>0</v>
      </c>
      <c r="Q945" t="n">
        <v>0</v>
      </c>
      <c r="R945" s="2" t="inlineStr"/>
    </row>
    <row r="946" ht="15" customHeight="1">
      <c r="A946" t="inlineStr">
        <is>
          <t>A 35769-2022</t>
        </is>
      </c>
      <c r="B946" s="1" t="n">
        <v>44800.77262731481</v>
      </c>
      <c r="C946" s="1" t="n">
        <v>46011</v>
      </c>
      <c r="D946" t="inlineStr">
        <is>
          <t>VÄSTRA GÖTALANDS LÄN</t>
        </is>
      </c>
      <c r="E946" t="inlineStr">
        <is>
          <t>TRANEMO</t>
        </is>
      </c>
      <c r="G946" t="n">
        <v>1.7</v>
      </c>
      <c r="H946" t="n">
        <v>0</v>
      </c>
      <c r="I946" t="n">
        <v>0</v>
      </c>
      <c r="J946" t="n">
        <v>0</v>
      </c>
      <c r="K946" t="n">
        <v>0</v>
      </c>
      <c r="L946" t="n">
        <v>0</v>
      </c>
      <c r="M946" t="n">
        <v>0</v>
      </c>
      <c r="N946" t="n">
        <v>0</v>
      </c>
      <c r="O946" t="n">
        <v>0</v>
      </c>
      <c r="P946" t="n">
        <v>0</v>
      </c>
      <c r="Q946" t="n">
        <v>0</v>
      </c>
      <c r="R946" s="2" t="inlineStr"/>
    </row>
    <row r="947" ht="15" customHeight="1">
      <c r="A947" t="inlineStr">
        <is>
          <t>A 32618-2022</t>
        </is>
      </c>
      <c r="B947" s="1" t="n">
        <v>44783.45521990741</v>
      </c>
      <c r="C947" s="1" t="n">
        <v>46011</v>
      </c>
      <c r="D947" t="inlineStr">
        <is>
          <t>VÄSTRA GÖTALANDS LÄN</t>
        </is>
      </c>
      <c r="E947" t="inlineStr">
        <is>
          <t>TIDAHOLM</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67995-2021</t>
        </is>
      </c>
      <c r="B948" s="1" t="n">
        <v>44525.73625</v>
      </c>
      <c r="C948" s="1" t="n">
        <v>46011</v>
      </c>
      <c r="D948" t="inlineStr">
        <is>
          <t>VÄSTRA GÖTALANDS LÄN</t>
        </is>
      </c>
      <c r="E948" t="inlineStr">
        <is>
          <t>HJO</t>
        </is>
      </c>
      <c r="G948" t="n">
        <v>0.8</v>
      </c>
      <c r="H948" t="n">
        <v>0</v>
      </c>
      <c r="I948" t="n">
        <v>0</v>
      </c>
      <c r="J948" t="n">
        <v>0</v>
      </c>
      <c r="K948" t="n">
        <v>0</v>
      </c>
      <c r="L948" t="n">
        <v>0</v>
      </c>
      <c r="M948" t="n">
        <v>0</v>
      </c>
      <c r="N948" t="n">
        <v>0</v>
      </c>
      <c r="O948" t="n">
        <v>0</v>
      </c>
      <c r="P948" t="n">
        <v>0</v>
      </c>
      <c r="Q948" t="n">
        <v>0</v>
      </c>
      <c r="R948" s="2" t="inlineStr"/>
    </row>
    <row r="949" ht="15" customHeight="1">
      <c r="A949" t="inlineStr">
        <is>
          <t>A 40429-2021</t>
        </is>
      </c>
      <c r="B949" s="1" t="n">
        <v>44419.6758449074</v>
      </c>
      <c r="C949" s="1" t="n">
        <v>46011</v>
      </c>
      <c r="D949" t="inlineStr">
        <is>
          <t>VÄSTRA GÖTALANDS LÄN</t>
        </is>
      </c>
      <c r="E949" t="inlineStr">
        <is>
          <t>BENGTSFORS</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40536-2021</t>
        </is>
      </c>
      <c r="B950" s="1" t="n">
        <v>44420.38428240741</v>
      </c>
      <c r="C950" s="1" t="n">
        <v>46011</v>
      </c>
      <c r="D950" t="inlineStr">
        <is>
          <t>VÄSTRA GÖTALANDS LÄN</t>
        </is>
      </c>
      <c r="E950" t="inlineStr">
        <is>
          <t>VARA</t>
        </is>
      </c>
      <c r="G950" t="n">
        <v>2.1</v>
      </c>
      <c r="H950" t="n">
        <v>0</v>
      </c>
      <c r="I950" t="n">
        <v>0</v>
      </c>
      <c r="J950" t="n">
        <v>0</v>
      </c>
      <c r="K950" t="n">
        <v>0</v>
      </c>
      <c r="L950" t="n">
        <v>0</v>
      </c>
      <c r="M950" t="n">
        <v>0</v>
      </c>
      <c r="N950" t="n">
        <v>0</v>
      </c>
      <c r="O950" t="n">
        <v>0</v>
      </c>
      <c r="P950" t="n">
        <v>0</v>
      </c>
      <c r="Q950" t="n">
        <v>0</v>
      </c>
      <c r="R950" s="2" t="inlineStr"/>
    </row>
    <row r="951" ht="15" customHeight="1">
      <c r="A951" t="inlineStr">
        <is>
          <t>A 51797-2021</t>
        </is>
      </c>
      <c r="B951" s="1" t="n">
        <v>44462.63516203704</v>
      </c>
      <c r="C951" s="1" t="n">
        <v>46011</v>
      </c>
      <c r="D951" t="inlineStr">
        <is>
          <t>VÄSTRA GÖTALANDS LÄN</t>
        </is>
      </c>
      <c r="E951" t="inlineStr">
        <is>
          <t>MARK</t>
        </is>
      </c>
      <c r="G951" t="n">
        <v>1.6</v>
      </c>
      <c r="H951" t="n">
        <v>0</v>
      </c>
      <c r="I951" t="n">
        <v>0</v>
      </c>
      <c r="J951" t="n">
        <v>0</v>
      </c>
      <c r="K951" t="n">
        <v>0</v>
      </c>
      <c r="L951" t="n">
        <v>0</v>
      </c>
      <c r="M951" t="n">
        <v>0</v>
      </c>
      <c r="N951" t="n">
        <v>0</v>
      </c>
      <c r="O951" t="n">
        <v>0</v>
      </c>
      <c r="P951" t="n">
        <v>0</v>
      </c>
      <c r="Q951" t="n">
        <v>0</v>
      </c>
      <c r="R951" s="2" t="inlineStr"/>
    </row>
    <row r="952" ht="15" customHeight="1">
      <c r="A952" t="inlineStr">
        <is>
          <t>A 45847-2021</t>
        </is>
      </c>
      <c r="B952" s="1" t="n">
        <v>44441.54953703703</v>
      </c>
      <c r="C952" s="1" t="n">
        <v>46011</v>
      </c>
      <c r="D952" t="inlineStr">
        <is>
          <t>VÄSTRA GÖTALANDS LÄN</t>
        </is>
      </c>
      <c r="E952" t="inlineStr">
        <is>
          <t>BENGTSFORS</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47034-2022</t>
        </is>
      </c>
      <c r="B953" s="1" t="n">
        <v>44852</v>
      </c>
      <c r="C953" s="1" t="n">
        <v>46011</v>
      </c>
      <c r="D953" t="inlineStr">
        <is>
          <t>VÄSTRA GÖTALANDS LÄN</t>
        </is>
      </c>
      <c r="E953" t="inlineStr">
        <is>
          <t>MARIESTAD</t>
        </is>
      </c>
      <c r="G953" t="n">
        <v>10.5</v>
      </c>
      <c r="H953" t="n">
        <v>0</v>
      </c>
      <c r="I953" t="n">
        <v>0</v>
      </c>
      <c r="J953" t="n">
        <v>0</v>
      </c>
      <c r="K953" t="n">
        <v>0</v>
      </c>
      <c r="L953" t="n">
        <v>0</v>
      </c>
      <c r="M953" t="n">
        <v>0</v>
      </c>
      <c r="N953" t="n">
        <v>0</v>
      </c>
      <c r="O953" t="n">
        <v>0</v>
      </c>
      <c r="P953" t="n">
        <v>0</v>
      </c>
      <c r="Q953" t="n">
        <v>0</v>
      </c>
      <c r="R953" s="2" t="inlineStr"/>
    </row>
    <row r="954" ht="15" customHeight="1">
      <c r="A954" t="inlineStr">
        <is>
          <t>A 32481-2022</t>
        </is>
      </c>
      <c r="B954" s="1" t="n">
        <v>44782.61696759259</v>
      </c>
      <c r="C954" s="1" t="n">
        <v>46011</v>
      </c>
      <c r="D954" t="inlineStr">
        <is>
          <t>VÄSTRA GÖTALANDS LÄN</t>
        </is>
      </c>
      <c r="E954" t="inlineStr">
        <is>
          <t>VARA</t>
        </is>
      </c>
      <c r="G954" t="n">
        <v>6</v>
      </c>
      <c r="H954" t="n">
        <v>0</v>
      </c>
      <c r="I954" t="n">
        <v>0</v>
      </c>
      <c r="J954" t="n">
        <v>0</v>
      </c>
      <c r="K954" t="n">
        <v>0</v>
      </c>
      <c r="L954" t="n">
        <v>0</v>
      </c>
      <c r="M954" t="n">
        <v>0</v>
      </c>
      <c r="N954" t="n">
        <v>0</v>
      </c>
      <c r="O954" t="n">
        <v>0</v>
      </c>
      <c r="P954" t="n">
        <v>0</v>
      </c>
      <c r="Q954" t="n">
        <v>0</v>
      </c>
      <c r="R954" s="2" t="inlineStr"/>
    </row>
    <row r="955" ht="15" customHeight="1">
      <c r="A955" t="inlineStr">
        <is>
          <t>A 72415-2021</t>
        </is>
      </c>
      <c r="B955" s="1" t="n">
        <v>44545</v>
      </c>
      <c r="C955" s="1" t="n">
        <v>46011</v>
      </c>
      <c r="D955" t="inlineStr">
        <is>
          <t>VÄSTRA GÖTALANDS LÄN</t>
        </is>
      </c>
      <c r="E955" t="inlineStr">
        <is>
          <t>LERUM</t>
        </is>
      </c>
      <c r="G955" t="n">
        <v>0.2</v>
      </c>
      <c r="H955" t="n">
        <v>0</v>
      </c>
      <c r="I955" t="n">
        <v>0</v>
      </c>
      <c r="J955" t="n">
        <v>0</v>
      </c>
      <c r="K955" t="n">
        <v>0</v>
      </c>
      <c r="L955" t="n">
        <v>0</v>
      </c>
      <c r="M955" t="n">
        <v>0</v>
      </c>
      <c r="N955" t="n">
        <v>0</v>
      </c>
      <c r="O955" t="n">
        <v>0</v>
      </c>
      <c r="P955" t="n">
        <v>0</v>
      </c>
      <c r="Q955" t="n">
        <v>0</v>
      </c>
      <c r="R955" s="2" t="inlineStr"/>
    </row>
    <row r="956" ht="15" customHeight="1">
      <c r="A956" t="inlineStr">
        <is>
          <t>A 50837-2021</t>
        </is>
      </c>
      <c r="B956" s="1" t="n">
        <v>44460</v>
      </c>
      <c r="C956" s="1" t="n">
        <v>46011</v>
      </c>
      <c r="D956" t="inlineStr">
        <is>
          <t>VÄSTRA GÖTALANDS LÄN</t>
        </is>
      </c>
      <c r="E956" t="inlineStr">
        <is>
          <t>BENGTSFORS</t>
        </is>
      </c>
      <c r="G956" t="n">
        <v>2.2</v>
      </c>
      <c r="H956" t="n">
        <v>0</v>
      </c>
      <c r="I956" t="n">
        <v>0</v>
      </c>
      <c r="J956" t="n">
        <v>0</v>
      </c>
      <c r="K956" t="n">
        <v>0</v>
      </c>
      <c r="L956" t="n">
        <v>0</v>
      </c>
      <c r="M956" t="n">
        <v>0</v>
      </c>
      <c r="N956" t="n">
        <v>0</v>
      </c>
      <c r="O956" t="n">
        <v>0</v>
      </c>
      <c r="P956" t="n">
        <v>0</v>
      </c>
      <c r="Q956" t="n">
        <v>0</v>
      </c>
      <c r="R956" s="2" t="inlineStr"/>
    </row>
    <row r="957" ht="15" customHeight="1">
      <c r="A957" t="inlineStr">
        <is>
          <t>A 50227-2022</t>
        </is>
      </c>
      <c r="B957" s="1" t="n">
        <v>44865.65704861111</v>
      </c>
      <c r="C957" s="1" t="n">
        <v>46011</v>
      </c>
      <c r="D957" t="inlineStr">
        <is>
          <t>VÄSTRA GÖTALANDS LÄN</t>
        </is>
      </c>
      <c r="E957" t="inlineStr">
        <is>
          <t>STRÖMSTAD</t>
        </is>
      </c>
      <c r="G957" t="n">
        <v>0.6</v>
      </c>
      <c r="H957" t="n">
        <v>0</v>
      </c>
      <c r="I957" t="n">
        <v>0</v>
      </c>
      <c r="J957" t="n">
        <v>0</v>
      </c>
      <c r="K957" t="n">
        <v>0</v>
      </c>
      <c r="L957" t="n">
        <v>0</v>
      </c>
      <c r="M957" t="n">
        <v>0</v>
      </c>
      <c r="N957" t="n">
        <v>0</v>
      </c>
      <c r="O957" t="n">
        <v>0</v>
      </c>
      <c r="P957" t="n">
        <v>0</v>
      </c>
      <c r="Q957" t="n">
        <v>0</v>
      </c>
      <c r="R957" s="2" t="inlineStr"/>
    </row>
    <row r="958" ht="15" customHeight="1">
      <c r="A958" t="inlineStr">
        <is>
          <t>A 10390-2022</t>
        </is>
      </c>
      <c r="B958" s="1" t="n">
        <v>44623</v>
      </c>
      <c r="C958" s="1" t="n">
        <v>46011</v>
      </c>
      <c r="D958" t="inlineStr">
        <is>
          <t>VÄSTRA GÖTALANDS LÄN</t>
        </is>
      </c>
      <c r="E958" t="inlineStr">
        <is>
          <t>GÖTEBORG</t>
        </is>
      </c>
      <c r="G958" t="n">
        <v>0.7</v>
      </c>
      <c r="H958" t="n">
        <v>0</v>
      </c>
      <c r="I958" t="n">
        <v>0</v>
      </c>
      <c r="J958" t="n">
        <v>0</v>
      </c>
      <c r="K958" t="n">
        <v>0</v>
      </c>
      <c r="L958" t="n">
        <v>0</v>
      </c>
      <c r="M958" t="n">
        <v>0</v>
      </c>
      <c r="N958" t="n">
        <v>0</v>
      </c>
      <c r="O958" t="n">
        <v>0</v>
      </c>
      <c r="P958" t="n">
        <v>0</v>
      </c>
      <c r="Q958" t="n">
        <v>0</v>
      </c>
      <c r="R958" s="2" t="inlineStr"/>
    </row>
    <row r="959" ht="15" customHeight="1">
      <c r="A959" t="inlineStr">
        <is>
          <t>A 34717-2022</t>
        </is>
      </c>
      <c r="B959" s="1" t="n">
        <v>44795</v>
      </c>
      <c r="C959" s="1" t="n">
        <v>46011</v>
      </c>
      <c r="D959" t="inlineStr">
        <is>
          <t>VÄSTRA GÖTALANDS LÄN</t>
        </is>
      </c>
      <c r="E959" t="inlineStr">
        <is>
          <t>VÄNERSBORG</t>
        </is>
      </c>
      <c r="G959" t="n">
        <v>0.5</v>
      </c>
      <c r="H959" t="n">
        <v>0</v>
      </c>
      <c r="I959" t="n">
        <v>0</v>
      </c>
      <c r="J959" t="n">
        <v>0</v>
      </c>
      <c r="K959" t="n">
        <v>0</v>
      </c>
      <c r="L959" t="n">
        <v>0</v>
      </c>
      <c r="M959" t="n">
        <v>0</v>
      </c>
      <c r="N959" t="n">
        <v>0</v>
      </c>
      <c r="O959" t="n">
        <v>0</v>
      </c>
      <c r="P959" t="n">
        <v>0</v>
      </c>
      <c r="Q959" t="n">
        <v>0</v>
      </c>
      <c r="R959" s="2" t="inlineStr"/>
    </row>
    <row r="960" ht="15" customHeight="1">
      <c r="A960" t="inlineStr">
        <is>
          <t>A 66421-2021</t>
        </is>
      </c>
      <c r="B960" s="1" t="n">
        <v>44518.67818287037</v>
      </c>
      <c r="C960" s="1" t="n">
        <v>46011</v>
      </c>
      <c r="D960" t="inlineStr">
        <is>
          <t>VÄSTRA GÖTALANDS LÄN</t>
        </is>
      </c>
      <c r="E960" t="inlineStr">
        <is>
          <t>ULRICEHAMN</t>
        </is>
      </c>
      <c r="G960" t="n">
        <v>2.8</v>
      </c>
      <c r="H960" t="n">
        <v>0</v>
      </c>
      <c r="I960" t="n">
        <v>0</v>
      </c>
      <c r="J960" t="n">
        <v>0</v>
      </c>
      <c r="K960" t="n">
        <v>0</v>
      </c>
      <c r="L960" t="n">
        <v>0</v>
      </c>
      <c r="M960" t="n">
        <v>0</v>
      </c>
      <c r="N960" t="n">
        <v>0</v>
      </c>
      <c r="O960" t="n">
        <v>0</v>
      </c>
      <c r="P960" t="n">
        <v>0</v>
      </c>
      <c r="Q960" t="n">
        <v>0</v>
      </c>
      <c r="R960" s="2" t="inlineStr"/>
    </row>
    <row r="961" ht="15" customHeight="1">
      <c r="A961" t="inlineStr">
        <is>
          <t>A 29346-2022</t>
        </is>
      </c>
      <c r="B961" s="1" t="n">
        <v>44753.32848379629</v>
      </c>
      <c r="C961" s="1" t="n">
        <v>46011</v>
      </c>
      <c r="D961" t="inlineStr">
        <is>
          <t>VÄSTRA GÖTALANDS LÄN</t>
        </is>
      </c>
      <c r="E961" t="inlineStr">
        <is>
          <t>VÄNERSBORG</t>
        </is>
      </c>
      <c r="G961" t="n">
        <v>0.8</v>
      </c>
      <c r="H961" t="n">
        <v>0</v>
      </c>
      <c r="I961" t="n">
        <v>0</v>
      </c>
      <c r="J961" t="n">
        <v>0</v>
      </c>
      <c r="K961" t="n">
        <v>0</v>
      </c>
      <c r="L961" t="n">
        <v>0</v>
      </c>
      <c r="M961" t="n">
        <v>0</v>
      </c>
      <c r="N961" t="n">
        <v>0</v>
      </c>
      <c r="O961" t="n">
        <v>0</v>
      </c>
      <c r="P961" t="n">
        <v>0</v>
      </c>
      <c r="Q961" t="n">
        <v>0</v>
      </c>
      <c r="R961" s="2" t="inlineStr"/>
    </row>
    <row r="962" ht="15" customHeight="1">
      <c r="A962" t="inlineStr">
        <is>
          <t>A 4092-2021</t>
        </is>
      </c>
      <c r="B962" s="1" t="n">
        <v>44222</v>
      </c>
      <c r="C962" s="1" t="n">
        <v>46011</v>
      </c>
      <c r="D962" t="inlineStr">
        <is>
          <t>VÄSTRA GÖTALANDS LÄN</t>
        </is>
      </c>
      <c r="E962" t="inlineStr">
        <is>
          <t>KARLSBORG</t>
        </is>
      </c>
      <c r="G962" t="n">
        <v>1.1</v>
      </c>
      <c r="H962" t="n">
        <v>0</v>
      </c>
      <c r="I962" t="n">
        <v>0</v>
      </c>
      <c r="J962" t="n">
        <v>0</v>
      </c>
      <c r="K962" t="n">
        <v>0</v>
      </c>
      <c r="L962" t="n">
        <v>0</v>
      </c>
      <c r="M962" t="n">
        <v>0</v>
      </c>
      <c r="N962" t="n">
        <v>0</v>
      </c>
      <c r="O962" t="n">
        <v>0</v>
      </c>
      <c r="P962" t="n">
        <v>0</v>
      </c>
      <c r="Q962" t="n">
        <v>0</v>
      </c>
      <c r="R962" s="2" t="inlineStr"/>
    </row>
    <row r="963" ht="15" customHeight="1">
      <c r="A963" t="inlineStr">
        <is>
          <t>A 22482-2022</t>
        </is>
      </c>
      <c r="B963" s="1" t="n">
        <v>44713.61376157407</v>
      </c>
      <c r="C963" s="1" t="n">
        <v>46011</v>
      </c>
      <c r="D963" t="inlineStr">
        <is>
          <t>VÄSTRA GÖTALANDS LÄN</t>
        </is>
      </c>
      <c r="E963" t="inlineStr">
        <is>
          <t>LYSEKIL</t>
        </is>
      </c>
      <c r="G963" t="n">
        <v>0.9</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46011</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46011</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39724-2021</t>
        </is>
      </c>
      <c r="B966" s="1" t="n">
        <v>44417</v>
      </c>
      <c r="C966" s="1" t="n">
        <v>46011</v>
      </c>
      <c r="D966" t="inlineStr">
        <is>
          <t>VÄSTRA GÖTALANDS LÄN</t>
        </is>
      </c>
      <c r="E966" t="inlineStr">
        <is>
          <t>HERRLJUNGA</t>
        </is>
      </c>
      <c r="G966" t="n">
        <v>1.1</v>
      </c>
      <c r="H966" t="n">
        <v>0</v>
      </c>
      <c r="I966" t="n">
        <v>0</v>
      </c>
      <c r="J966" t="n">
        <v>0</v>
      </c>
      <c r="K966" t="n">
        <v>0</v>
      </c>
      <c r="L966" t="n">
        <v>0</v>
      </c>
      <c r="M966" t="n">
        <v>0</v>
      </c>
      <c r="N966" t="n">
        <v>0</v>
      </c>
      <c r="O966" t="n">
        <v>0</v>
      </c>
      <c r="P966" t="n">
        <v>0</v>
      </c>
      <c r="Q966" t="n">
        <v>0</v>
      </c>
      <c r="R966" s="2" t="inlineStr"/>
    </row>
    <row r="967" ht="15" customHeight="1">
      <c r="A967" t="inlineStr">
        <is>
          <t>A 29559-2022</t>
        </is>
      </c>
      <c r="B967" s="1" t="n">
        <v>44754.35361111111</v>
      </c>
      <c r="C967" s="1" t="n">
        <v>46011</v>
      </c>
      <c r="D967" t="inlineStr">
        <is>
          <t>VÄSTRA GÖTALANDS LÄN</t>
        </is>
      </c>
      <c r="E967" t="inlineStr">
        <is>
          <t>ALINGSÅS</t>
        </is>
      </c>
      <c r="G967" t="n">
        <v>1.5</v>
      </c>
      <c r="H967" t="n">
        <v>0</v>
      </c>
      <c r="I967" t="n">
        <v>0</v>
      </c>
      <c r="J967" t="n">
        <v>0</v>
      </c>
      <c r="K967" t="n">
        <v>0</v>
      </c>
      <c r="L967" t="n">
        <v>0</v>
      </c>
      <c r="M967" t="n">
        <v>0</v>
      </c>
      <c r="N967" t="n">
        <v>0</v>
      </c>
      <c r="O967" t="n">
        <v>0</v>
      </c>
      <c r="P967" t="n">
        <v>0</v>
      </c>
      <c r="Q967" t="n">
        <v>0</v>
      </c>
      <c r="R967" s="2" t="inlineStr"/>
    </row>
    <row r="968" ht="15" customHeight="1">
      <c r="A968" t="inlineStr">
        <is>
          <t>A 53410-2021</t>
        </is>
      </c>
      <c r="B968" s="1" t="n">
        <v>44468</v>
      </c>
      <c r="C968" s="1" t="n">
        <v>46011</v>
      </c>
      <c r="D968" t="inlineStr">
        <is>
          <t>VÄSTRA GÖTALANDS LÄN</t>
        </is>
      </c>
      <c r="E968" t="inlineStr">
        <is>
          <t>BORÅS</t>
        </is>
      </c>
      <c r="G968" t="n">
        <v>1</v>
      </c>
      <c r="H968" t="n">
        <v>0</v>
      </c>
      <c r="I968" t="n">
        <v>0</v>
      </c>
      <c r="J968" t="n">
        <v>0</v>
      </c>
      <c r="K968" t="n">
        <v>0</v>
      </c>
      <c r="L968" t="n">
        <v>0</v>
      </c>
      <c r="M968" t="n">
        <v>0</v>
      </c>
      <c r="N968" t="n">
        <v>0</v>
      </c>
      <c r="O968" t="n">
        <v>0</v>
      </c>
      <c r="P968" t="n">
        <v>0</v>
      </c>
      <c r="Q968" t="n">
        <v>0</v>
      </c>
      <c r="R968" s="2" t="inlineStr"/>
    </row>
    <row r="969" ht="15" customHeight="1">
      <c r="A969" t="inlineStr">
        <is>
          <t>A 59086-2021</t>
        </is>
      </c>
      <c r="B969" s="1" t="n">
        <v>44490</v>
      </c>
      <c r="C969" s="1" t="n">
        <v>46011</v>
      </c>
      <c r="D969" t="inlineStr">
        <is>
          <t>VÄSTRA GÖTALANDS LÄN</t>
        </is>
      </c>
      <c r="E969" t="inlineStr">
        <is>
          <t>GÖTENE</t>
        </is>
      </c>
      <c r="G969" t="n">
        <v>0.7</v>
      </c>
      <c r="H969" t="n">
        <v>0</v>
      </c>
      <c r="I969" t="n">
        <v>0</v>
      </c>
      <c r="J969" t="n">
        <v>0</v>
      </c>
      <c r="K969" t="n">
        <v>0</v>
      </c>
      <c r="L969" t="n">
        <v>0</v>
      </c>
      <c r="M969" t="n">
        <v>0</v>
      </c>
      <c r="N969" t="n">
        <v>0</v>
      </c>
      <c r="O969" t="n">
        <v>0</v>
      </c>
      <c r="P969" t="n">
        <v>0</v>
      </c>
      <c r="Q969" t="n">
        <v>0</v>
      </c>
      <c r="R969" s="2" t="inlineStr"/>
    </row>
    <row r="970" ht="15" customHeight="1">
      <c r="A970" t="inlineStr">
        <is>
          <t>A 40321-2021</t>
        </is>
      </c>
      <c r="B970" s="1" t="n">
        <v>44419.53385416666</v>
      </c>
      <c r="C970" s="1" t="n">
        <v>46011</v>
      </c>
      <c r="D970" t="inlineStr">
        <is>
          <t>VÄSTRA GÖTALANDS LÄN</t>
        </is>
      </c>
      <c r="E970" t="inlineStr">
        <is>
          <t>TÖREBODA</t>
        </is>
      </c>
      <c r="G970" t="n">
        <v>1.2</v>
      </c>
      <c r="H970" t="n">
        <v>0</v>
      </c>
      <c r="I970" t="n">
        <v>0</v>
      </c>
      <c r="J970" t="n">
        <v>0</v>
      </c>
      <c r="K970" t="n">
        <v>0</v>
      </c>
      <c r="L970" t="n">
        <v>0</v>
      </c>
      <c r="M970" t="n">
        <v>0</v>
      </c>
      <c r="N970" t="n">
        <v>0</v>
      </c>
      <c r="O970" t="n">
        <v>0</v>
      </c>
      <c r="P970" t="n">
        <v>0</v>
      </c>
      <c r="Q970" t="n">
        <v>0</v>
      </c>
      <c r="R970" s="2" t="inlineStr"/>
    </row>
    <row r="971" ht="15" customHeight="1">
      <c r="A971" t="inlineStr">
        <is>
          <t>A 51995-2021</t>
        </is>
      </c>
      <c r="B971" s="1" t="n">
        <v>44462</v>
      </c>
      <c r="C971" s="1" t="n">
        <v>46011</v>
      </c>
      <c r="D971" t="inlineStr">
        <is>
          <t>VÄSTRA GÖTALANDS LÄN</t>
        </is>
      </c>
      <c r="E971" t="inlineStr">
        <is>
          <t>TANUM</t>
        </is>
      </c>
      <c r="G971" t="n">
        <v>2.5</v>
      </c>
      <c r="H971" t="n">
        <v>0</v>
      </c>
      <c r="I971" t="n">
        <v>0</v>
      </c>
      <c r="J971" t="n">
        <v>0</v>
      </c>
      <c r="K971" t="n">
        <v>0</v>
      </c>
      <c r="L971" t="n">
        <v>0</v>
      </c>
      <c r="M971" t="n">
        <v>0</v>
      </c>
      <c r="N971" t="n">
        <v>0</v>
      </c>
      <c r="O971" t="n">
        <v>0</v>
      </c>
      <c r="P971" t="n">
        <v>0</v>
      </c>
      <c r="Q971" t="n">
        <v>0</v>
      </c>
      <c r="R971" s="2" t="inlineStr"/>
    </row>
    <row r="972" ht="15" customHeight="1">
      <c r="A972" t="inlineStr">
        <is>
          <t>A 48215-2022</t>
        </is>
      </c>
      <c r="B972" s="1" t="n">
        <v>44858</v>
      </c>
      <c r="C972" s="1" t="n">
        <v>46011</v>
      </c>
      <c r="D972" t="inlineStr">
        <is>
          <t>VÄSTRA GÖTALANDS LÄN</t>
        </is>
      </c>
      <c r="E972" t="inlineStr">
        <is>
          <t>STENUNGSUND</t>
        </is>
      </c>
      <c r="G972" t="n">
        <v>1.5</v>
      </c>
      <c r="H972" t="n">
        <v>0</v>
      </c>
      <c r="I972" t="n">
        <v>0</v>
      </c>
      <c r="J972" t="n">
        <v>0</v>
      </c>
      <c r="K972" t="n">
        <v>0</v>
      </c>
      <c r="L972" t="n">
        <v>0</v>
      </c>
      <c r="M972" t="n">
        <v>0</v>
      </c>
      <c r="N972" t="n">
        <v>0</v>
      </c>
      <c r="O972" t="n">
        <v>0</v>
      </c>
      <c r="P972" t="n">
        <v>0</v>
      </c>
      <c r="Q972" t="n">
        <v>0</v>
      </c>
      <c r="R972" s="2" t="inlineStr"/>
    </row>
    <row r="973" ht="15" customHeight="1">
      <c r="A973" t="inlineStr">
        <is>
          <t>A 5455-2022</t>
        </is>
      </c>
      <c r="B973" s="1" t="n">
        <v>44595.45362268519</v>
      </c>
      <c r="C973" s="1" t="n">
        <v>46011</v>
      </c>
      <c r="D973" t="inlineStr">
        <is>
          <t>VÄSTRA GÖTALANDS LÄN</t>
        </is>
      </c>
      <c r="E973" t="inlineStr">
        <is>
          <t>FÄRGELANDA</t>
        </is>
      </c>
      <c r="G973" t="n">
        <v>4.8</v>
      </c>
      <c r="H973" t="n">
        <v>0</v>
      </c>
      <c r="I973" t="n">
        <v>0</v>
      </c>
      <c r="J973" t="n">
        <v>0</v>
      </c>
      <c r="K973" t="n">
        <v>0</v>
      </c>
      <c r="L973" t="n">
        <v>0</v>
      </c>
      <c r="M973" t="n">
        <v>0</v>
      </c>
      <c r="N973" t="n">
        <v>0</v>
      </c>
      <c r="O973" t="n">
        <v>0</v>
      </c>
      <c r="P973" t="n">
        <v>0</v>
      </c>
      <c r="Q973" t="n">
        <v>0</v>
      </c>
      <c r="R973" s="2" t="inlineStr"/>
    </row>
    <row r="974" ht="15" customHeight="1">
      <c r="A974" t="inlineStr">
        <is>
          <t>A 11629-2022</t>
        </is>
      </c>
      <c r="B974" s="1" t="n">
        <v>44631.6496875</v>
      </c>
      <c r="C974" s="1" t="n">
        <v>46011</v>
      </c>
      <c r="D974" t="inlineStr">
        <is>
          <t>VÄSTRA GÖTALANDS LÄN</t>
        </is>
      </c>
      <c r="E974" t="inlineStr">
        <is>
          <t>BORÅS</t>
        </is>
      </c>
      <c r="G974" t="n">
        <v>3.2</v>
      </c>
      <c r="H974" t="n">
        <v>0</v>
      </c>
      <c r="I974" t="n">
        <v>0</v>
      </c>
      <c r="J974" t="n">
        <v>0</v>
      </c>
      <c r="K974" t="n">
        <v>0</v>
      </c>
      <c r="L974" t="n">
        <v>0</v>
      </c>
      <c r="M974" t="n">
        <v>0</v>
      </c>
      <c r="N974" t="n">
        <v>0</v>
      </c>
      <c r="O974" t="n">
        <v>0</v>
      </c>
      <c r="P974" t="n">
        <v>0</v>
      </c>
      <c r="Q974" t="n">
        <v>0</v>
      </c>
      <c r="R974" s="2" t="inlineStr"/>
    </row>
    <row r="975" ht="15" customHeight="1">
      <c r="A975" t="inlineStr">
        <is>
          <t>A 4892-2021</t>
        </is>
      </c>
      <c r="B975" s="1" t="n">
        <v>44224</v>
      </c>
      <c r="C975" s="1" t="n">
        <v>46011</v>
      </c>
      <c r="D975" t="inlineStr">
        <is>
          <t>VÄSTRA GÖTALANDS LÄN</t>
        </is>
      </c>
      <c r="E975" t="inlineStr">
        <is>
          <t>KUNGÄLV</t>
        </is>
      </c>
      <c r="G975" t="n">
        <v>6</v>
      </c>
      <c r="H975" t="n">
        <v>0</v>
      </c>
      <c r="I975" t="n">
        <v>0</v>
      </c>
      <c r="J975" t="n">
        <v>0</v>
      </c>
      <c r="K975" t="n">
        <v>0</v>
      </c>
      <c r="L975" t="n">
        <v>0</v>
      </c>
      <c r="M975" t="n">
        <v>0</v>
      </c>
      <c r="N975" t="n">
        <v>0</v>
      </c>
      <c r="O975" t="n">
        <v>0</v>
      </c>
      <c r="P975" t="n">
        <v>0</v>
      </c>
      <c r="Q975" t="n">
        <v>0</v>
      </c>
      <c r="R975" s="2" t="inlineStr"/>
    </row>
    <row r="976" ht="15" customHeight="1">
      <c r="A976" t="inlineStr">
        <is>
          <t>A 53548-2021</t>
        </is>
      </c>
      <c r="B976" s="1" t="n">
        <v>44469</v>
      </c>
      <c r="C976" s="1" t="n">
        <v>46011</v>
      </c>
      <c r="D976" t="inlineStr">
        <is>
          <t>VÄSTRA GÖTALANDS LÄN</t>
        </is>
      </c>
      <c r="E976" t="inlineStr">
        <is>
          <t>FALKÖPING</t>
        </is>
      </c>
      <c r="G976" t="n">
        <v>5.1</v>
      </c>
      <c r="H976" t="n">
        <v>0</v>
      </c>
      <c r="I976" t="n">
        <v>0</v>
      </c>
      <c r="J976" t="n">
        <v>0</v>
      </c>
      <c r="K976" t="n">
        <v>0</v>
      </c>
      <c r="L976" t="n">
        <v>0</v>
      </c>
      <c r="M976" t="n">
        <v>0</v>
      </c>
      <c r="N976" t="n">
        <v>0</v>
      </c>
      <c r="O976" t="n">
        <v>0</v>
      </c>
      <c r="P976" t="n">
        <v>0</v>
      </c>
      <c r="Q976" t="n">
        <v>0</v>
      </c>
      <c r="R976" s="2" t="inlineStr"/>
    </row>
    <row r="977" ht="15" customHeight="1">
      <c r="A977" t="inlineStr">
        <is>
          <t>A 7802-2021</t>
        </is>
      </c>
      <c r="B977" s="1" t="n">
        <v>44242</v>
      </c>
      <c r="C977" s="1" t="n">
        <v>46011</v>
      </c>
      <c r="D977" t="inlineStr">
        <is>
          <t>VÄSTRA GÖTALANDS LÄN</t>
        </is>
      </c>
      <c r="E977" t="inlineStr">
        <is>
          <t>FÄRGELANDA</t>
        </is>
      </c>
      <c r="G977" t="n">
        <v>11.9</v>
      </c>
      <c r="H977" t="n">
        <v>0</v>
      </c>
      <c r="I977" t="n">
        <v>0</v>
      </c>
      <c r="J977" t="n">
        <v>0</v>
      </c>
      <c r="K977" t="n">
        <v>0</v>
      </c>
      <c r="L977" t="n">
        <v>0</v>
      </c>
      <c r="M977" t="n">
        <v>0</v>
      </c>
      <c r="N977" t="n">
        <v>0</v>
      </c>
      <c r="O977" t="n">
        <v>0</v>
      </c>
      <c r="P977" t="n">
        <v>0</v>
      </c>
      <c r="Q977" t="n">
        <v>0</v>
      </c>
      <c r="R977" s="2" t="inlineStr"/>
    </row>
    <row r="978" ht="15" customHeight="1">
      <c r="A978" t="inlineStr">
        <is>
          <t>A 48088-2021</t>
        </is>
      </c>
      <c r="B978" s="1" t="n">
        <v>44449</v>
      </c>
      <c r="C978" s="1" t="n">
        <v>46011</v>
      </c>
      <c r="D978" t="inlineStr">
        <is>
          <t>VÄSTRA GÖTALANDS LÄN</t>
        </is>
      </c>
      <c r="E978" t="inlineStr">
        <is>
          <t>UDDEVALLA</t>
        </is>
      </c>
      <c r="F978" t="inlineStr">
        <is>
          <t>Kyrkan</t>
        </is>
      </c>
      <c r="G978" t="n">
        <v>1.6</v>
      </c>
      <c r="H978" t="n">
        <v>0</v>
      </c>
      <c r="I978" t="n">
        <v>0</v>
      </c>
      <c r="J978" t="n">
        <v>0</v>
      </c>
      <c r="K978" t="n">
        <v>0</v>
      </c>
      <c r="L978" t="n">
        <v>0</v>
      </c>
      <c r="M978" t="n">
        <v>0</v>
      </c>
      <c r="N978" t="n">
        <v>0</v>
      </c>
      <c r="O978" t="n">
        <v>0</v>
      </c>
      <c r="P978" t="n">
        <v>0</v>
      </c>
      <c r="Q978" t="n">
        <v>0</v>
      </c>
      <c r="R978" s="2" t="inlineStr"/>
    </row>
    <row r="979" ht="15" customHeight="1">
      <c r="A979" t="inlineStr">
        <is>
          <t>A 2764-2021</t>
        </is>
      </c>
      <c r="B979" s="1" t="n">
        <v>44215</v>
      </c>
      <c r="C979" s="1" t="n">
        <v>46011</v>
      </c>
      <c r="D979" t="inlineStr">
        <is>
          <t>VÄSTRA GÖTALANDS LÄN</t>
        </is>
      </c>
      <c r="E979" t="inlineStr">
        <is>
          <t>FÄRGELANDA</t>
        </is>
      </c>
      <c r="G979" t="n">
        <v>4.7</v>
      </c>
      <c r="H979" t="n">
        <v>0</v>
      </c>
      <c r="I979" t="n">
        <v>0</v>
      </c>
      <c r="J979" t="n">
        <v>0</v>
      </c>
      <c r="K979" t="n">
        <v>0</v>
      </c>
      <c r="L979" t="n">
        <v>0</v>
      </c>
      <c r="M979" t="n">
        <v>0</v>
      </c>
      <c r="N979" t="n">
        <v>0</v>
      </c>
      <c r="O979" t="n">
        <v>0</v>
      </c>
      <c r="P979" t="n">
        <v>0</v>
      </c>
      <c r="Q979" t="n">
        <v>0</v>
      </c>
      <c r="R979" s="2" t="inlineStr"/>
    </row>
    <row r="980" ht="15" customHeight="1">
      <c r="A980" t="inlineStr">
        <is>
          <t>A 57794-2021</t>
        </is>
      </c>
      <c r="B980" s="1" t="n">
        <v>44484</v>
      </c>
      <c r="C980" s="1" t="n">
        <v>46011</v>
      </c>
      <c r="D980" t="inlineStr">
        <is>
          <t>VÄSTRA GÖTALANDS LÄN</t>
        </is>
      </c>
      <c r="E980" t="inlineStr">
        <is>
          <t>MARIESTAD</t>
        </is>
      </c>
      <c r="G980" t="n">
        <v>2.8</v>
      </c>
      <c r="H980" t="n">
        <v>0</v>
      </c>
      <c r="I980" t="n">
        <v>0</v>
      </c>
      <c r="J980" t="n">
        <v>0</v>
      </c>
      <c r="K980" t="n">
        <v>0</v>
      </c>
      <c r="L980" t="n">
        <v>0</v>
      </c>
      <c r="M980" t="n">
        <v>0</v>
      </c>
      <c r="N980" t="n">
        <v>0</v>
      </c>
      <c r="O980" t="n">
        <v>0</v>
      </c>
      <c r="P980" t="n">
        <v>0</v>
      </c>
      <c r="Q980" t="n">
        <v>0</v>
      </c>
      <c r="R980" s="2" t="inlineStr"/>
    </row>
    <row r="981" ht="15" customHeight="1">
      <c r="A981" t="inlineStr">
        <is>
          <t>A 64773-2021</t>
        </is>
      </c>
      <c r="B981" s="1" t="n">
        <v>44512</v>
      </c>
      <c r="C981" s="1" t="n">
        <v>46011</v>
      </c>
      <c r="D981" t="inlineStr">
        <is>
          <t>VÄSTRA GÖTALANDS LÄN</t>
        </is>
      </c>
      <c r="E981" t="inlineStr">
        <is>
          <t>FALKÖPING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64794-2021</t>
        </is>
      </c>
      <c r="B982" s="1" t="n">
        <v>44512</v>
      </c>
      <c r="C982" s="1" t="n">
        <v>46011</v>
      </c>
      <c r="D982" t="inlineStr">
        <is>
          <t>VÄSTRA GÖTALANDS LÄN</t>
        </is>
      </c>
      <c r="E982" t="inlineStr">
        <is>
          <t>ULRICEHAMN</t>
        </is>
      </c>
      <c r="F982" t="inlineStr">
        <is>
          <t>Sveaskog</t>
        </is>
      </c>
      <c r="G982" t="n">
        <v>0.4</v>
      </c>
      <c r="H982" t="n">
        <v>0</v>
      </c>
      <c r="I982" t="n">
        <v>0</v>
      </c>
      <c r="J982" t="n">
        <v>0</v>
      </c>
      <c r="K982" t="n">
        <v>0</v>
      </c>
      <c r="L982" t="n">
        <v>0</v>
      </c>
      <c r="M982" t="n">
        <v>0</v>
      </c>
      <c r="N982" t="n">
        <v>0</v>
      </c>
      <c r="O982" t="n">
        <v>0</v>
      </c>
      <c r="P982" t="n">
        <v>0</v>
      </c>
      <c r="Q982" t="n">
        <v>0</v>
      </c>
      <c r="R982" s="2" t="inlineStr"/>
    </row>
    <row r="983" ht="15" customHeight="1">
      <c r="A983" t="inlineStr">
        <is>
          <t>A 42877-2021</t>
        </is>
      </c>
      <c r="B983" s="1" t="n">
        <v>44431</v>
      </c>
      <c r="C983" s="1" t="n">
        <v>46011</v>
      </c>
      <c r="D983" t="inlineStr">
        <is>
          <t>VÄSTRA GÖTALANDS LÄN</t>
        </is>
      </c>
      <c r="E983" t="inlineStr">
        <is>
          <t>BOLLEBYGD</t>
        </is>
      </c>
      <c r="G983" t="n">
        <v>1.1</v>
      </c>
      <c r="H983" t="n">
        <v>0</v>
      </c>
      <c r="I983" t="n">
        <v>0</v>
      </c>
      <c r="J983" t="n">
        <v>0</v>
      </c>
      <c r="K983" t="n">
        <v>0</v>
      </c>
      <c r="L983" t="n">
        <v>0</v>
      </c>
      <c r="M983" t="n">
        <v>0</v>
      </c>
      <c r="N983" t="n">
        <v>0</v>
      </c>
      <c r="O983" t="n">
        <v>0</v>
      </c>
      <c r="P983" t="n">
        <v>0</v>
      </c>
      <c r="Q983" t="n">
        <v>0</v>
      </c>
      <c r="R983" s="2" t="inlineStr"/>
    </row>
    <row r="984" ht="15" customHeight="1">
      <c r="A984" t="inlineStr">
        <is>
          <t>A 12912-2021</t>
        </is>
      </c>
      <c r="B984" s="1" t="n">
        <v>44271</v>
      </c>
      <c r="C984" s="1" t="n">
        <v>46011</v>
      </c>
      <c r="D984" t="inlineStr">
        <is>
          <t>VÄSTRA GÖTALANDS LÄN</t>
        </is>
      </c>
      <c r="E984" t="inlineStr">
        <is>
          <t>MARK</t>
        </is>
      </c>
      <c r="G984" t="n">
        <v>3.7</v>
      </c>
      <c r="H984" t="n">
        <v>0</v>
      </c>
      <c r="I984" t="n">
        <v>0</v>
      </c>
      <c r="J984" t="n">
        <v>0</v>
      </c>
      <c r="K984" t="n">
        <v>0</v>
      </c>
      <c r="L984" t="n">
        <v>0</v>
      </c>
      <c r="M984" t="n">
        <v>0</v>
      </c>
      <c r="N984" t="n">
        <v>0</v>
      </c>
      <c r="O984" t="n">
        <v>0</v>
      </c>
      <c r="P984" t="n">
        <v>0</v>
      </c>
      <c r="Q984" t="n">
        <v>0</v>
      </c>
      <c r="R984" s="2" t="inlineStr"/>
    </row>
    <row r="985" ht="15" customHeight="1">
      <c r="A985" t="inlineStr">
        <is>
          <t>A 12967-2021</t>
        </is>
      </c>
      <c r="B985" s="1" t="n">
        <v>44271.61297453703</v>
      </c>
      <c r="C985" s="1" t="n">
        <v>46011</v>
      </c>
      <c r="D985" t="inlineStr">
        <is>
          <t>VÄSTRA GÖTALANDS LÄN</t>
        </is>
      </c>
      <c r="E985" t="inlineStr">
        <is>
          <t>VÅRGÅRDA</t>
        </is>
      </c>
      <c r="G985" t="n">
        <v>0.2</v>
      </c>
      <c r="H985" t="n">
        <v>0</v>
      </c>
      <c r="I985" t="n">
        <v>0</v>
      </c>
      <c r="J985" t="n">
        <v>0</v>
      </c>
      <c r="K985" t="n">
        <v>0</v>
      </c>
      <c r="L985" t="n">
        <v>0</v>
      </c>
      <c r="M985" t="n">
        <v>0</v>
      </c>
      <c r="N985" t="n">
        <v>0</v>
      </c>
      <c r="O985" t="n">
        <v>0</v>
      </c>
      <c r="P985" t="n">
        <v>0</v>
      </c>
      <c r="Q985" t="n">
        <v>0</v>
      </c>
      <c r="R985" s="2" t="inlineStr"/>
    </row>
    <row r="986" ht="15" customHeight="1">
      <c r="A986" t="inlineStr">
        <is>
          <t>A 18791-2021</t>
        </is>
      </c>
      <c r="B986" s="1" t="n">
        <v>44307.58013888889</v>
      </c>
      <c r="C986" s="1" t="n">
        <v>46011</v>
      </c>
      <c r="D986" t="inlineStr">
        <is>
          <t>VÄSTRA GÖTALANDS LÄN</t>
        </is>
      </c>
      <c r="E986" t="inlineStr">
        <is>
          <t>SOTENÄS</t>
        </is>
      </c>
      <c r="G986" t="n">
        <v>1</v>
      </c>
      <c r="H986" t="n">
        <v>0</v>
      </c>
      <c r="I986" t="n">
        <v>0</v>
      </c>
      <c r="J986" t="n">
        <v>0</v>
      </c>
      <c r="K986" t="n">
        <v>0</v>
      </c>
      <c r="L986" t="n">
        <v>0</v>
      </c>
      <c r="M986" t="n">
        <v>0</v>
      </c>
      <c r="N986" t="n">
        <v>0</v>
      </c>
      <c r="O986" t="n">
        <v>0</v>
      </c>
      <c r="P986" t="n">
        <v>0</v>
      </c>
      <c r="Q986" t="n">
        <v>0</v>
      </c>
      <c r="R986" s="2" t="inlineStr"/>
    </row>
    <row r="987" ht="15" customHeight="1">
      <c r="A987" t="inlineStr">
        <is>
          <t>A 13530-2021</t>
        </is>
      </c>
      <c r="B987" s="1" t="n">
        <v>44273.69288194444</v>
      </c>
      <c r="C987" s="1" t="n">
        <v>46011</v>
      </c>
      <c r="D987" t="inlineStr">
        <is>
          <t>VÄSTRA GÖTALANDS LÄN</t>
        </is>
      </c>
      <c r="E987" t="inlineStr">
        <is>
          <t>TROLLHÄTTAN</t>
        </is>
      </c>
      <c r="G987" t="n">
        <v>2.2</v>
      </c>
      <c r="H987" t="n">
        <v>0</v>
      </c>
      <c r="I987" t="n">
        <v>0</v>
      </c>
      <c r="J987" t="n">
        <v>0</v>
      </c>
      <c r="K987" t="n">
        <v>0</v>
      </c>
      <c r="L987" t="n">
        <v>0</v>
      </c>
      <c r="M987" t="n">
        <v>0</v>
      </c>
      <c r="N987" t="n">
        <v>0</v>
      </c>
      <c r="O987" t="n">
        <v>0</v>
      </c>
      <c r="P987" t="n">
        <v>0</v>
      </c>
      <c r="Q987" t="n">
        <v>0</v>
      </c>
      <c r="R987" s="2" t="inlineStr"/>
    </row>
    <row r="988" ht="15" customHeight="1">
      <c r="A988" t="inlineStr">
        <is>
          <t>A 54510-2021</t>
        </is>
      </c>
      <c r="B988" s="1" t="n">
        <v>44473.51674768519</v>
      </c>
      <c r="C988" s="1" t="n">
        <v>46011</v>
      </c>
      <c r="D988" t="inlineStr">
        <is>
          <t>VÄSTRA GÖTALANDS LÄN</t>
        </is>
      </c>
      <c r="E988" t="inlineStr">
        <is>
          <t>HERRLJUNGA</t>
        </is>
      </c>
      <c r="G988" t="n">
        <v>0.7</v>
      </c>
      <c r="H988" t="n">
        <v>0</v>
      </c>
      <c r="I988" t="n">
        <v>0</v>
      </c>
      <c r="J988" t="n">
        <v>0</v>
      </c>
      <c r="K988" t="n">
        <v>0</v>
      </c>
      <c r="L988" t="n">
        <v>0</v>
      </c>
      <c r="M988" t="n">
        <v>0</v>
      </c>
      <c r="N988" t="n">
        <v>0</v>
      </c>
      <c r="O988" t="n">
        <v>0</v>
      </c>
      <c r="P988" t="n">
        <v>0</v>
      </c>
      <c r="Q988" t="n">
        <v>0</v>
      </c>
      <c r="R988" s="2" t="inlineStr"/>
    </row>
    <row r="989" ht="15" customHeight="1">
      <c r="A989" t="inlineStr">
        <is>
          <t>A 55732-2021</t>
        </is>
      </c>
      <c r="B989" s="1" t="n">
        <v>44476.48311342593</v>
      </c>
      <c r="C989" s="1" t="n">
        <v>46011</v>
      </c>
      <c r="D989" t="inlineStr">
        <is>
          <t>VÄSTRA GÖTALANDS LÄN</t>
        </is>
      </c>
      <c r="E989" t="inlineStr">
        <is>
          <t>BENGTSFORS</t>
        </is>
      </c>
      <c r="G989" t="n">
        <v>1.7</v>
      </c>
      <c r="H989" t="n">
        <v>0</v>
      </c>
      <c r="I989" t="n">
        <v>0</v>
      </c>
      <c r="J989" t="n">
        <v>0</v>
      </c>
      <c r="K989" t="n">
        <v>0</v>
      </c>
      <c r="L989" t="n">
        <v>0</v>
      </c>
      <c r="M989" t="n">
        <v>0</v>
      </c>
      <c r="N989" t="n">
        <v>0</v>
      </c>
      <c r="O989" t="n">
        <v>0</v>
      </c>
      <c r="P989" t="n">
        <v>0</v>
      </c>
      <c r="Q989" t="n">
        <v>0</v>
      </c>
      <c r="R989" s="2" t="inlineStr"/>
    </row>
    <row r="990" ht="15" customHeight="1">
      <c r="A990" t="inlineStr">
        <is>
          <t>A 63363-2021</t>
        </is>
      </c>
      <c r="B990" s="1" t="n">
        <v>44506</v>
      </c>
      <c r="C990" s="1" t="n">
        <v>46011</v>
      </c>
      <c r="D990" t="inlineStr">
        <is>
          <t>VÄSTRA GÖTALANDS LÄN</t>
        </is>
      </c>
      <c r="E990" t="inlineStr">
        <is>
          <t>TANUM</t>
        </is>
      </c>
      <c r="G990" t="n">
        <v>1.2</v>
      </c>
      <c r="H990" t="n">
        <v>0</v>
      </c>
      <c r="I990" t="n">
        <v>0</v>
      </c>
      <c r="J990" t="n">
        <v>0</v>
      </c>
      <c r="K990" t="n">
        <v>0</v>
      </c>
      <c r="L990" t="n">
        <v>0</v>
      </c>
      <c r="M990" t="n">
        <v>0</v>
      </c>
      <c r="N990" t="n">
        <v>0</v>
      </c>
      <c r="O990" t="n">
        <v>0</v>
      </c>
      <c r="P990" t="n">
        <v>0</v>
      </c>
      <c r="Q990" t="n">
        <v>0</v>
      </c>
      <c r="R990" s="2" t="inlineStr"/>
    </row>
    <row r="991" ht="15" customHeight="1">
      <c r="A991" t="inlineStr">
        <is>
          <t>A 63383-2021</t>
        </is>
      </c>
      <c r="B991" s="1" t="n">
        <v>44508</v>
      </c>
      <c r="C991" s="1" t="n">
        <v>46011</v>
      </c>
      <c r="D991" t="inlineStr">
        <is>
          <t>VÄSTRA GÖTALANDS LÄN</t>
        </is>
      </c>
      <c r="E991" t="inlineStr">
        <is>
          <t>TIDAHOLM</t>
        </is>
      </c>
      <c r="G991" t="n">
        <v>5</v>
      </c>
      <c r="H991" t="n">
        <v>0</v>
      </c>
      <c r="I991" t="n">
        <v>0</v>
      </c>
      <c r="J991" t="n">
        <v>0</v>
      </c>
      <c r="K991" t="n">
        <v>0</v>
      </c>
      <c r="L991" t="n">
        <v>0</v>
      </c>
      <c r="M991" t="n">
        <v>0</v>
      </c>
      <c r="N991" t="n">
        <v>0</v>
      </c>
      <c r="O991" t="n">
        <v>0</v>
      </c>
      <c r="P991" t="n">
        <v>0</v>
      </c>
      <c r="Q991" t="n">
        <v>0</v>
      </c>
      <c r="R991" s="2" t="inlineStr"/>
    </row>
    <row r="992" ht="15" customHeight="1">
      <c r="A992" t="inlineStr">
        <is>
          <t>A 9577-2021</t>
        </is>
      </c>
      <c r="B992" s="1" t="n">
        <v>44251</v>
      </c>
      <c r="C992" s="1" t="n">
        <v>46011</v>
      </c>
      <c r="D992" t="inlineStr">
        <is>
          <t>VÄSTRA GÖTALANDS LÄN</t>
        </is>
      </c>
      <c r="E992" t="inlineStr">
        <is>
          <t>MUNKEDAL</t>
        </is>
      </c>
      <c r="G992" t="n">
        <v>10</v>
      </c>
      <c r="H992" t="n">
        <v>0</v>
      </c>
      <c r="I992" t="n">
        <v>0</v>
      </c>
      <c r="J992" t="n">
        <v>0</v>
      </c>
      <c r="K992" t="n">
        <v>0</v>
      </c>
      <c r="L992" t="n">
        <v>0</v>
      </c>
      <c r="M992" t="n">
        <v>0</v>
      </c>
      <c r="N992" t="n">
        <v>0</v>
      </c>
      <c r="O992" t="n">
        <v>0</v>
      </c>
      <c r="P992" t="n">
        <v>0</v>
      </c>
      <c r="Q992" t="n">
        <v>0</v>
      </c>
      <c r="R992" s="2" t="inlineStr"/>
    </row>
    <row r="993" ht="15" customHeight="1">
      <c r="A993" t="inlineStr">
        <is>
          <t>A 60851-2021</t>
        </is>
      </c>
      <c r="B993" s="1" t="n">
        <v>44497.37104166667</v>
      </c>
      <c r="C993" s="1" t="n">
        <v>46011</v>
      </c>
      <c r="D993" t="inlineStr">
        <is>
          <t>VÄSTRA GÖTALANDS LÄN</t>
        </is>
      </c>
      <c r="E993" t="inlineStr">
        <is>
          <t>HERRLJUNGA</t>
        </is>
      </c>
      <c r="G993" t="n">
        <v>1.9</v>
      </c>
      <c r="H993" t="n">
        <v>0</v>
      </c>
      <c r="I993" t="n">
        <v>0</v>
      </c>
      <c r="J993" t="n">
        <v>0</v>
      </c>
      <c r="K993" t="n">
        <v>0</v>
      </c>
      <c r="L993" t="n">
        <v>0</v>
      </c>
      <c r="M993" t="n">
        <v>0</v>
      </c>
      <c r="N993" t="n">
        <v>0</v>
      </c>
      <c r="O993" t="n">
        <v>0</v>
      </c>
      <c r="P993" t="n">
        <v>0</v>
      </c>
      <c r="Q993" t="n">
        <v>0</v>
      </c>
      <c r="R993" s="2" t="inlineStr"/>
    </row>
    <row r="994" ht="15" customHeight="1">
      <c r="A994" t="inlineStr">
        <is>
          <t>A 60880-2021</t>
        </is>
      </c>
      <c r="B994" s="1" t="n">
        <v>44496</v>
      </c>
      <c r="C994" s="1" t="n">
        <v>46011</v>
      </c>
      <c r="D994" t="inlineStr">
        <is>
          <t>VÄSTRA GÖTALANDS LÄN</t>
        </is>
      </c>
      <c r="E994" t="inlineStr">
        <is>
          <t>VÅRGÅRDA</t>
        </is>
      </c>
      <c r="G994" t="n">
        <v>1.3</v>
      </c>
      <c r="H994" t="n">
        <v>0</v>
      </c>
      <c r="I994" t="n">
        <v>0</v>
      </c>
      <c r="J994" t="n">
        <v>0</v>
      </c>
      <c r="K994" t="n">
        <v>0</v>
      </c>
      <c r="L994" t="n">
        <v>0</v>
      </c>
      <c r="M994" t="n">
        <v>0</v>
      </c>
      <c r="N994" t="n">
        <v>0</v>
      </c>
      <c r="O994" t="n">
        <v>0</v>
      </c>
      <c r="P994" t="n">
        <v>0</v>
      </c>
      <c r="Q994" t="n">
        <v>0</v>
      </c>
      <c r="R994" s="2" t="inlineStr"/>
    </row>
    <row r="995" ht="15" customHeight="1">
      <c r="A995" t="inlineStr">
        <is>
          <t>A 14766-2021</t>
        </is>
      </c>
      <c r="B995" s="1" t="n">
        <v>44280</v>
      </c>
      <c r="C995" s="1" t="n">
        <v>46011</v>
      </c>
      <c r="D995" t="inlineStr">
        <is>
          <t>VÄSTRA GÖTALANDS LÄN</t>
        </is>
      </c>
      <c r="E995" t="inlineStr">
        <is>
          <t>BOLLEBYGD</t>
        </is>
      </c>
      <c r="G995" t="n">
        <v>1.9</v>
      </c>
      <c r="H995" t="n">
        <v>0</v>
      </c>
      <c r="I995" t="n">
        <v>0</v>
      </c>
      <c r="J995" t="n">
        <v>0</v>
      </c>
      <c r="K995" t="n">
        <v>0</v>
      </c>
      <c r="L995" t="n">
        <v>0</v>
      </c>
      <c r="M995" t="n">
        <v>0</v>
      </c>
      <c r="N995" t="n">
        <v>0</v>
      </c>
      <c r="O995" t="n">
        <v>0</v>
      </c>
      <c r="P995" t="n">
        <v>0</v>
      </c>
      <c r="Q995" t="n">
        <v>0</v>
      </c>
      <c r="R995" s="2" t="inlineStr"/>
    </row>
    <row r="996" ht="15" customHeight="1">
      <c r="A996" t="inlineStr">
        <is>
          <t>A 15450-2021</t>
        </is>
      </c>
      <c r="B996" s="1" t="n">
        <v>44285</v>
      </c>
      <c r="C996" s="1" t="n">
        <v>46011</v>
      </c>
      <c r="D996" t="inlineStr">
        <is>
          <t>VÄSTRA GÖTALANDS LÄN</t>
        </is>
      </c>
      <c r="E996" t="inlineStr">
        <is>
          <t>TANUM</t>
        </is>
      </c>
      <c r="G996" t="n">
        <v>4.6</v>
      </c>
      <c r="H996" t="n">
        <v>0</v>
      </c>
      <c r="I996" t="n">
        <v>0</v>
      </c>
      <c r="J996" t="n">
        <v>0</v>
      </c>
      <c r="K996" t="n">
        <v>0</v>
      </c>
      <c r="L996" t="n">
        <v>0</v>
      </c>
      <c r="M996" t="n">
        <v>0</v>
      </c>
      <c r="N996" t="n">
        <v>0</v>
      </c>
      <c r="O996" t="n">
        <v>0</v>
      </c>
      <c r="P996" t="n">
        <v>0</v>
      </c>
      <c r="Q996" t="n">
        <v>0</v>
      </c>
      <c r="R996" s="2" t="inlineStr"/>
    </row>
    <row r="997" ht="15" customHeight="1">
      <c r="A997" t="inlineStr">
        <is>
          <t>A 4182-2021</t>
        </is>
      </c>
      <c r="B997" s="1" t="n">
        <v>44223</v>
      </c>
      <c r="C997" s="1" t="n">
        <v>46011</v>
      </c>
      <c r="D997" t="inlineStr">
        <is>
          <t>VÄSTRA GÖTALANDS LÄN</t>
        </is>
      </c>
      <c r="E997" t="inlineStr">
        <is>
          <t>HJO</t>
        </is>
      </c>
      <c r="G997" t="n">
        <v>1.3</v>
      </c>
      <c r="H997" t="n">
        <v>0</v>
      </c>
      <c r="I997" t="n">
        <v>0</v>
      </c>
      <c r="J997" t="n">
        <v>0</v>
      </c>
      <c r="K997" t="n">
        <v>0</v>
      </c>
      <c r="L997" t="n">
        <v>0</v>
      </c>
      <c r="M997" t="n">
        <v>0</v>
      </c>
      <c r="N997" t="n">
        <v>0</v>
      </c>
      <c r="O997" t="n">
        <v>0</v>
      </c>
      <c r="P997" t="n">
        <v>0</v>
      </c>
      <c r="Q997" t="n">
        <v>0</v>
      </c>
      <c r="R997" s="2" t="inlineStr"/>
    </row>
    <row r="998" ht="15" customHeight="1">
      <c r="A998" t="inlineStr">
        <is>
          <t>A 14495-2021</t>
        </is>
      </c>
      <c r="B998" s="1" t="n">
        <v>44279</v>
      </c>
      <c r="C998" s="1" t="n">
        <v>46011</v>
      </c>
      <c r="D998" t="inlineStr">
        <is>
          <t>VÄSTRA GÖTALANDS LÄN</t>
        </is>
      </c>
      <c r="E998" t="inlineStr">
        <is>
          <t>MARIESTAD</t>
        </is>
      </c>
      <c r="F998" t="inlineStr">
        <is>
          <t>Kyrkan</t>
        </is>
      </c>
      <c r="G998" t="n">
        <v>1.3</v>
      </c>
      <c r="H998" t="n">
        <v>0</v>
      </c>
      <c r="I998" t="n">
        <v>0</v>
      </c>
      <c r="J998" t="n">
        <v>0</v>
      </c>
      <c r="K998" t="n">
        <v>0</v>
      </c>
      <c r="L998" t="n">
        <v>0</v>
      </c>
      <c r="M998" t="n">
        <v>0</v>
      </c>
      <c r="N998" t="n">
        <v>0</v>
      </c>
      <c r="O998" t="n">
        <v>0</v>
      </c>
      <c r="P998" t="n">
        <v>0</v>
      </c>
      <c r="Q998" t="n">
        <v>0</v>
      </c>
      <c r="R998" s="2" t="inlineStr"/>
    </row>
    <row r="999" ht="15" customHeight="1">
      <c r="A999" t="inlineStr">
        <is>
          <t>A 2370-2021</t>
        </is>
      </c>
      <c r="B999" s="1" t="n">
        <v>44211</v>
      </c>
      <c r="C999" s="1" t="n">
        <v>46011</v>
      </c>
      <c r="D999" t="inlineStr">
        <is>
          <t>VÄSTRA GÖTALANDS LÄN</t>
        </is>
      </c>
      <c r="E999" t="inlineStr">
        <is>
          <t>UDDEVALLA</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12270-2021</t>
        </is>
      </c>
      <c r="B1000" s="1" t="n">
        <v>44266.91554398148</v>
      </c>
      <c r="C1000" s="1" t="n">
        <v>46011</v>
      </c>
      <c r="D1000" t="inlineStr">
        <is>
          <t>VÄSTRA GÖTALANDS LÄN</t>
        </is>
      </c>
      <c r="E1000" t="inlineStr">
        <is>
          <t>STENUNGSUND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49378-2021</t>
        </is>
      </c>
      <c r="B1001" s="1" t="n">
        <v>44454</v>
      </c>
      <c r="C1001" s="1" t="n">
        <v>46011</v>
      </c>
      <c r="D1001" t="inlineStr">
        <is>
          <t>VÄSTRA GÖTALANDS LÄN</t>
        </is>
      </c>
      <c r="E1001" t="inlineStr">
        <is>
          <t>GULLSPÅNG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49431-2021</t>
        </is>
      </c>
      <c r="B1002" s="1" t="n">
        <v>44454</v>
      </c>
      <c r="C1002" s="1" t="n">
        <v>46011</v>
      </c>
      <c r="D1002" t="inlineStr">
        <is>
          <t>VÄSTRA GÖTALANDS LÄN</t>
        </is>
      </c>
      <c r="E1002" t="inlineStr">
        <is>
          <t>SKARA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3773-2021</t>
        </is>
      </c>
      <c r="B1003" s="1" t="n">
        <v>44217</v>
      </c>
      <c r="C1003" s="1" t="n">
        <v>46011</v>
      </c>
      <c r="D1003" t="inlineStr">
        <is>
          <t>VÄSTRA GÖTALANDS LÄN</t>
        </is>
      </c>
      <c r="E1003" t="inlineStr">
        <is>
          <t>DALS-ED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13260-2021</t>
        </is>
      </c>
      <c r="B1004" s="1" t="n">
        <v>44272.65820601852</v>
      </c>
      <c r="C1004" s="1" t="n">
        <v>46011</v>
      </c>
      <c r="D1004" t="inlineStr">
        <is>
          <t>VÄSTRA GÖTALANDS LÄN</t>
        </is>
      </c>
      <c r="E1004" t="inlineStr">
        <is>
          <t>TRANEMO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9557-2021</t>
        </is>
      </c>
      <c r="B1005" s="1" t="n">
        <v>44251</v>
      </c>
      <c r="C1005" s="1" t="n">
        <v>46011</v>
      </c>
      <c r="D1005" t="inlineStr">
        <is>
          <t>VÄSTRA GÖTALANDS LÄN</t>
        </is>
      </c>
      <c r="E1005" t="inlineStr">
        <is>
          <t>TRANEMO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68511-2021</t>
        </is>
      </c>
      <c r="B1006" s="1" t="n">
        <v>44529</v>
      </c>
      <c r="C1006" s="1" t="n">
        <v>46011</v>
      </c>
      <c r="D1006" t="inlineStr">
        <is>
          <t>VÄSTRA GÖTALANDS LÄN</t>
        </is>
      </c>
      <c r="E1006" t="inlineStr">
        <is>
          <t>TIDAHOLM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16380-2021</t>
        </is>
      </c>
      <c r="B1007" s="1" t="n">
        <v>44293.36452546297</v>
      </c>
      <c r="C1007" s="1" t="n">
        <v>46011</v>
      </c>
      <c r="D1007" t="inlineStr">
        <is>
          <t>VÄSTRA GÖTALANDS LÄN</t>
        </is>
      </c>
      <c r="E1007" t="inlineStr">
        <is>
          <t>BORÅS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25481-2021</t>
        </is>
      </c>
      <c r="B1008" s="1" t="n">
        <v>44342.86346064815</v>
      </c>
      <c r="C1008" s="1" t="n">
        <v>46011</v>
      </c>
      <c r="D1008" t="inlineStr">
        <is>
          <t>VÄSTRA GÖTALANDS LÄN</t>
        </is>
      </c>
      <c r="E1008" t="inlineStr">
        <is>
          <t>MARK</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14754-2021</t>
        </is>
      </c>
      <c r="B1009" s="1" t="n">
        <v>44280.59298611111</v>
      </c>
      <c r="C1009" s="1" t="n">
        <v>46011</v>
      </c>
      <c r="D1009" t="inlineStr">
        <is>
          <t>VÄSTRA GÖTALANDS LÄN</t>
        </is>
      </c>
      <c r="E1009" t="inlineStr">
        <is>
          <t>BORÅS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74066-2021</t>
        </is>
      </c>
      <c r="B1010" s="1" t="n">
        <v>44557</v>
      </c>
      <c r="C1010" s="1" t="n">
        <v>46011</v>
      </c>
      <c r="D1010" t="inlineStr">
        <is>
          <t>VÄSTRA GÖTALANDS LÄN</t>
        </is>
      </c>
      <c r="E1010" t="inlineStr">
        <is>
          <t>FÄRGELANDA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64052-2021</t>
        </is>
      </c>
      <c r="B1011" s="1" t="n">
        <v>44508</v>
      </c>
      <c r="C1011" s="1" t="n">
        <v>46011</v>
      </c>
      <c r="D1011" t="inlineStr">
        <is>
          <t>VÄSTRA GÖTALANDS LÄN</t>
        </is>
      </c>
      <c r="E1011" t="inlineStr">
        <is>
          <t>TÖREBODA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64067-2021</t>
        </is>
      </c>
      <c r="B1012" s="1" t="n">
        <v>44509</v>
      </c>
      <c r="C1012" s="1" t="n">
        <v>46011</v>
      </c>
      <c r="D1012" t="inlineStr">
        <is>
          <t>VÄSTRA GÖTALANDS LÄN</t>
        </is>
      </c>
      <c r="E1012" t="inlineStr">
        <is>
          <t>ÅMÅL</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28360-2021</t>
        </is>
      </c>
      <c r="B1013" s="1" t="n">
        <v>44356.42327546296</v>
      </c>
      <c r="C1013" s="1" t="n">
        <v>46011</v>
      </c>
      <c r="D1013" t="inlineStr">
        <is>
          <t>VÄSTRA GÖTALANDS LÄN</t>
        </is>
      </c>
      <c r="E1013" t="inlineStr">
        <is>
          <t>VARA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20455-2021</t>
        </is>
      </c>
      <c r="B1014" s="1" t="n">
        <v>44315.61004629629</v>
      </c>
      <c r="C1014" s="1" t="n">
        <v>46011</v>
      </c>
      <c r="D1014" t="inlineStr">
        <is>
          <t>VÄSTRA GÖTALANDS LÄN</t>
        </is>
      </c>
      <c r="E1014" t="inlineStr">
        <is>
          <t>KARLSBORG</t>
        </is>
      </c>
      <c r="F1014" t="inlineStr">
        <is>
          <t>Övriga Aktiebolag</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70494-2021</t>
        </is>
      </c>
      <c r="B1015" s="1" t="n">
        <v>44536</v>
      </c>
      <c r="C1015" s="1" t="n">
        <v>46011</v>
      </c>
      <c r="D1015" t="inlineStr">
        <is>
          <t>VÄSTRA GÖTALANDS LÄN</t>
        </is>
      </c>
      <c r="E1015" t="inlineStr">
        <is>
          <t>UDDEVALLA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54899-2022</t>
        </is>
      </c>
      <c r="B1016" s="1" t="n">
        <v>44886</v>
      </c>
      <c r="C1016" s="1" t="n">
        <v>46011</v>
      </c>
      <c r="D1016" t="inlineStr">
        <is>
          <t>VÄSTRA GÖTALANDS LÄN</t>
        </is>
      </c>
      <c r="E1016" t="inlineStr">
        <is>
          <t>VÄNERSBORG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48904-2021</t>
        </is>
      </c>
      <c r="B1017" s="1" t="n">
        <v>44453</v>
      </c>
      <c r="C1017" s="1" t="n">
        <v>46011</v>
      </c>
      <c r="D1017" t="inlineStr">
        <is>
          <t>VÄSTRA GÖTALANDS LÄN</t>
        </is>
      </c>
      <c r="E1017" t="inlineStr">
        <is>
          <t>TIBRO</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48927-2021</t>
        </is>
      </c>
      <c r="B1018" s="1" t="n">
        <v>44453.330625</v>
      </c>
      <c r="C1018" s="1" t="n">
        <v>46011</v>
      </c>
      <c r="D1018" t="inlineStr">
        <is>
          <t>VÄSTRA GÖTALANDS LÄN</t>
        </is>
      </c>
      <c r="E1018" t="inlineStr">
        <is>
          <t>SVENLJUNGA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72228-2021</t>
        </is>
      </c>
      <c r="B1019" s="1" t="n">
        <v>44544.86368055556</v>
      </c>
      <c r="C1019" s="1" t="n">
        <v>46011</v>
      </c>
      <c r="D1019" t="inlineStr">
        <is>
          <t>VÄSTRA GÖTALANDS LÄN</t>
        </is>
      </c>
      <c r="E1019" t="inlineStr">
        <is>
          <t>TANUM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64396-2021</t>
        </is>
      </c>
      <c r="B1020" s="1" t="n">
        <v>44511</v>
      </c>
      <c r="C1020" s="1" t="n">
        <v>46011</v>
      </c>
      <c r="D1020" t="inlineStr">
        <is>
          <t>VÄSTRA GÖTALANDS LÄN</t>
        </is>
      </c>
      <c r="E1020" t="inlineStr">
        <is>
          <t>VÅRGÅRDA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18309-2021</t>
        </is>
      </c>
      <c r="B1021" s="1" t="n">
        <v>44305.46362268519</v>
      </c>
      <c r="C1021" s="1" t="n">
        <v>46011</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61212-2021</t>
        </is>
      </c>
      <c r="B1022" s="1" t="n">
        <v>44498</v>
      </c>
      <c r="C1022" s="1" t="n">
        <v>46011</v>
      </c>
      <c r="D1022" t="inlineStr">
        <is>
          <t>VÄSTRA GÖTALANDS LÄN</t>
        </is>
      </c>
      <c r="E1022" t="inlineStr">
        <is>
          <t>LYSEKIL</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18380-2021</t>
        </is>
      </c>
      <c r="B1023" s="1" t="n">
        <v>44305.59869212963</v>
      </c>
      <c r="C1023" s="1" t="n">
        <v>46011</v>
      </c>
      <c r="D1023" t="inlineStr">
        <is>
          <t>VÄSTRA GÖTALANDS LÄN</t>
        </is>
      </c>
      <c r="E1023" t="inlineStr">
        <is>
          <t>VARA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13053-2021</t>
        </is>
      </c>
      <c r="B1024" s="1" t="n">
        <v>44272.31196759259</v>
      </c>
      <c r="C1024" s="1" t="n">
        <v>46011</v>
      </c>
      <c r="D1024" t="inlineStr">
        <is>
          <t>VÄSTRA GÖTALANDS LÄN</t>
        </is>
      </c>
      <c r="E1024" t="inlineStr">
        <is>
          <t>TIBRO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3383-2021</t>
        </is>
      </c>
      <c r="B1025" s="1" t="n">
        <v>44218.37846064815</v>
      </c>
      <c r="C1025" s="1" t="n">
        <v>46011</v>
      </c>
      <c r="D1025" t="inlineStr">
        <is>
          <t>VÄSTRA GÖTALANDS LÄN</t>
        </is>
      </c>
      <c r="E1025" t="inlineStr">
        <is>
          <t>ULRICEHAMN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3390-2021</t>
        </is>
      </c>
      <c r="B1026" s="1" t="n">
        <v>44218.40491898148</v>
      </c>
      <c r="C1026" s="1" t="n">
        <v>46011</v>
      </c>
      <c r="D1026" t="inlineStr">
        <is>
          <t>VÄSTRA GÖTALANDS LÄN</t>
        </is>
      </c>
      <c r="E1026" t="inlineStr">
        <is>
          <t>DALS-ED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3422-2021</t>
        </is>
      </c>
      <c r="B1027" s="1" t="n">
        <v>44218</v>
      </c>
      <c r="C1027" s="1" t="n">
        <v>46011</v>
      </c>
      <c r="D1027" t="inlineStr">
        <is>
          <t>VÄSTRA GÖTALANDS LÄN</t>
        </is>
      </c>
      <c r="E1027" t="inlineStr">
        <is>
          <t>VARA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9182-2021</t>
        </is>
      </c>
      <c r="B1028" s="1" t="n">
        <v>44250</v>
      </c>
      <c r="C1028" s="1" t="n">
        <v>46011</v>
      </c>
      <c r="D1028" t="inlineStr">
        <is>
          <t>VÄSTRA GÖTALANDS LÄN</t>
        </is>
      </c>
      <c r="E1028" t="inlineStr">
        <is>
          <t>ORUST</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73816-2021</t>
        </is>
      </c>
      <c r="B1029" s="1" t="n">
        <v>44552</v>
      </c>
      <c r="C1029" s="1" t="n">
        <v>46011</v>
      </c>
      <c r="D1029" t="inlineStr">
        <is>
          <t>VÄSTRA GÖTALANDS LÄN</t>
        </is>
      </c>
      <c r="E1029" t="inlineStr">
        <is>
          <t>TANUM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9186-2021</t>
        </is>
      </c>
      <c r="B1030" s="1" t="n">
        <v>44250</v>
      </c>
      <c r="C1030" s="1" t="n">
        <v>46011</v>
      </c>
      <c r="D1030" t="inlineStr">
        <is>
          <t>VÄSTRA GÖTALANDS LÄN</t>
        </is>
      </c>
      <c r="E1030" t="inlineStr">
        <is>
          <t>GULLSPÅNG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9191-2021</t>
        </is>
      </c>
      <c r="B1031" s="1" t="n">
        <v>44250</v>
      </c>
      <c r="C1031" s="1" t="n">
        <v>46011</v>
      </c>
      <c r="D1031" t="inlineStr">
        <is>
          <t>VÄSTRA GÖTALANDS LÄN</t>
        </is>
      </c>
      <c r="E1031" t="inlineStr">
        <is>
          <t>KARLSBORG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46011</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5833-2021</t>
        </is>
      </c>
      <c r="B1033" s="1" t="n">
        <v>44231</v>
      </c>
      <c r="C1033" s="1" t="n">
        <v>46011</v>
      </c>
      <c r="D1033" t="inlineStr">
        <is>
          <t>VÄSTRA GÖTALANDS LÄN</t>
        </is>
      </c>
      <c r="E1033" t="inlineStr">
        <is>
          <t>GÖTENE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69513-2021</t>
        </is>
      </c>
      <c r="B1034" s="1" t="n">
        <v>44531</v>
      </c>
      <c r="C1034" s="1" t="n">
        <v>46011</v>
      </c>
      <c r="D1034" t="inlineStr">
        <is>
          <t>VÄSTRA GÖTALANDS LÄN</t>
        </is>
      </c>
      <c r="E1034" t="inlineStr">
        <is>
          <t>MARK</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30046-2021</t>
        </is>
      </c>
      <c r="B1035" s="1" t="n">
        <v>44363</v>
      </c>
      <c r="C1035" s="1" t="n">
        <v>46011</v>
      </c>
      <c r="D1035" t="inlineStr">
        <is>
          <t>VÄSTRA GÖTALANDS LÄN</t>
        </is>
      </c>
      <c r="E1035" t="inlineStr">
        <is>
          <t>LILLA EDET</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70027-2021</t>
        </is>
      </c>
      <c r="B1036" s="1" t="n">
        <v>44533</v>
      </c>
      <c r="C1036" s="1" t="n">
        <v>46011</v>
      </c>
      <c r="D1036" t="inlineStr">
        <is>
          <t>VÄSTRA GÖTALANDS LÄN</t>
        </is>
      </c>
      <c r="E1036" t="inlineStr">
        <is>
          <t>DALS-ED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4105-2021</t>
        </is>
      </c>
      <c r="B1037" s="1" t="n">
        <v>44222</v>
      </c>
      <c r="C1037" s="1" t="n">
        <v>46011</v>
      </c>
      <c r="D1037" t="inlineStr">
        <is>
          <t>VÄSTRA GÖTALANDS LÄN</t>
        </is>
      </c>
      <c r="E1037" t="inlineStr">
        <is>
          <t>BENGTSFORS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70103-2021</t>
        </is>
      </c>
      <c r="B1038" s="1" t="n">
        <v>44533</v>
      </c>
      <c r="C1038" s="1" t="n">
        <v>46011</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70169-2021</t>
        </is>
      </c>
      <c r="B1039" s="1" t="n">
        <v>44533.82865740741</v>
      </c>
      <c r="C1039" s="1" t="n">
        <v>46011</v>
      </c>
      <c r="D1039" t="inlineStr">
        <is>
          <t>VÄSTRA GÖTALANDS LÄN</t>
        </is>
      </c>
      <c r="E1039" t="inlineStr">
        <is>
          <t>ULRICEHAMN</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17611-2021</t>
        </is>
      </c>
      <c r="B1040" s="1" t="n">
        <v>44300.2812962963</v>
      </c>
      <c r="C1040" s="1" t="n">
        <v>46011</v>
      </c>
      <c r="D1040" t="inlineStr">
        <is>
          <t>VÄSTRA GÖTALANDS LÄN</t>
        </is>
      </c>
      <c r="E1040" t="inlineStr">
        <is>
          <t>TROLLHÄTTAN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17678-2021</t>
        </is>
      </c>
      <c r="B1041" s="1" t="n">
        <v>44300</v>
      </c>
      <c r="C1041" s="1" t="n">
        <v>46011</v>
      </c>
      <c r="D1041" t="inlineStr">
        <is>
          <t>VÄSTRA GÖTALANDS LÄN</t>
        </is>
      </c>
      <c r="E1041" t="inlineStr">
        <is>
          <t>ULRICEHAMN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2779-2021</t>
        </is>
      </c>
      <c r="B1042" s="1" t="n">
        <v>44215</v>
      </c>
      <c r="C1042" s="1" t="n">
        <v>46011</v>
      </c>
      <c r="D1042" t="inlineStr">
        <is>
          <t>VÄSTRA GÖTALANDS LÄN</t>
        </is>
      </c>
      <c r="E1042" t="inlineStr">
        <is>
          <t>HJO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909-2022</t>
        </is>
      </c>
      <c r="B1043" s="1" t="n">
        <v>44571</v>
      </c>
      <c r="C1043" s="1" t="n">
        <v>46011</v>
      </c>
      <c r="D1043" t="inlineStr">
        <is>
          <t>VÄSTRA GÖTALANDS LÄN</t>
        </is>
      </c>
      <c r="E1043" t="inlineStr">
        <is>
          <t>ÅMÅL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1031-2021</t>
        </is>
      </c>
      <c r="B1044" s="1" t="n">
        <v>44207.46618055556</v>
      </c>
      <c r="C1044" s="1" t="n">
        <v>46011</v>
      </c>
      <c r="D1044" t="inlineStr">
        <is>
          <t>VÄSTRA GÖTALANDS LÄN</t>
        </is>
      </c>
      <c r="E1044" t="inlineStr">
        <is>
          <t>TRANEMO</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3451-2021</t>
        </is>
      </c>
      <c r="B1045" s="1" t="n">
        <v>44218</v>
      </c>
      <c r="C1045" s="1" t="n">
        <v>46011</v>
      </c>
      <c r="D1045" t="inlineStr">
        <is>
          <t>VÄSTRA GÖTALANDS LÄN</t>
        </is>
      </c>
      <c r="E1045" t="inlineStr">
        <is>
          <t>ALINGSÅS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18832-2021</t>
        </is>
      </c>
      <c r="B1046" s="1" t="n">
        <v>44307</v>
      </c>
      <c r="C1046" s="1" t="n">
        <v>46011</v>
      </c>
      <c r="D1046" t="inlineStr">
        <is>
          <t>VÄSTRA GÖTALANDS LÄN</t>
        </is>
      </c>
      <c r="E1046" t="inlineStr">
        <is>
          <t>HERRLJUNGA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13602-2021</t>
        </is>
      </c>
      <c r="B1047" s="1" t="n">
        <v>44274</v>
      </c>
      <c r="C1047" s="1" t="n">
        <v>46011</v>
      </c>
      <c r="D1047" t="inlineStr">
        <is>
          <t>VÄSTRA GÖTALANDS LÄN</t>
        </is>
      </c>
      <c r="E1047" t="inlineStr">
        <is>
          <t>ESSUNGA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18650-2021</t>
        </is>
      </c>
      <c r="B1048" s="1" t="n">
        <v>44306</v>
      </c>
      <c r="C1048" s="1" t="n">
        <v>46011</v>
      </c>
      <c r="D1048" t="inlineStr">
        <is>
          <t>VÄSTRA GÖTALANDS LÄN</t>
        </is>
      </c>
      <c r="E1048" t="inlineStr">
        <is>
          <t>ULRICEHAMN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15291-2021</t>
        </is>
      </c>
      <c r="B1049" s="1" t="n">
        <v>44284</v>
      </c>
      <c r="C1049" s="1" t="n">
        <v>46011</v>
      </c>
      <c r="D1049" t="inlineStr">
        <is>
          <t>VÄSTRA GÖTALANDS LÄN</t>
        </is>
      </c>
      <c r="E1049" t="inlineStr">
        <is>
          <t>VÅRGÅRDA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15490-2021</t>
        </is>
      </c>
      <c r="B1050" s="1" t="n">
        <v>44285</v>
      </c>
      <c r="C1050" s="1" t="n">
        <v>46011</v>
      </c>
      <c r="D1050" t="inlineStr">
        <is>
          <t>VÄSTRA GÖTALANDS LÄN</t>
        </is>
      </c>
      <c r="E1050" t="inlineStr">
        <is>
          <t>TANUM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9541-2021</t>
        </is>
      </c>
      <c r="B1051" s="1" t="n">
        <v>44251</v>
      </c>
      <c r="C1051" s="1" t="n">
        <v>46011</v>
      </c>
      <c r="D1051" t="inlineStr">
        <is>
          <t>VÄSTRA GÖTALANDS LÄN</t>
        </is>
      </c>
      <c r="E1051" t="inlineStr">
        <is>
          <t>LILLA EDET</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47181-2021</t>
        </is>
      </c>
      <c r="B1052" s="1" t="n">
        <v>44447.30079861111</v>
      </c>
      <c r="C1052" s="1" t="n">
        <v>46011</v>
      </c>
      <c r="D1052" t="inlineStr">
        <is>
          <t>VÄSTRA GÖTALANDS LÄN</t>
        </is>
      </c>
      <c r="E1052" t="inlineStr">
        <is>
          <t>GULLSPÅNG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32865-2021</t>
        </is>
      </c>
      <c r="B1053" s="1" t="n">
        <v>44375.66605324074</v>
      </c>
      <c r="C1053" s="1" t="n">
        <v>46011</v>
      </c>
      <c r="D1053" t="inlineStr">
        <is>
          <t>VÄSTRA GÖTALANDS LÄN</t>
        </is>
      </c>
      <c r="E1053" t="inlineStr">
        <is>
          <t>GÖTENE</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40982-2021</t>
        </is>
      </c>
      <c r="B1054" s="1" t="n">
        <v>44421</v>
      </c>
      <c r="C1054" s="1" t="n">
        <v>46011</v>
      </c>
      <c r="D1054" t="inlineStr">
        <is>
          <t>VÄSTRA GÖTALANDS LÄN</t>
        </is>
      </c>
      <c r="E1054" t="inlineStr">
        <is>
          <t>GULLSPÅNG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68698-2021</t>
        </is>
      </c>
      <c r="B1055" s="1" t="n">
        <v>44529.66587962963</v>
      </c>
      <c r="C1055" s="1" t="n">
        <v>46011</v>
      </c>
      <c r="D1055" t="inlineStr">
        <is>
          <t>VÄSTRA GÖTALANDS LÄN</t>
        </is>
      </c>
      <c r="E1055" t="inlineStr">
        <is>
          <t>FALKÖPING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394-2021</t>
        </is>
      </c>
      <c r="B1056" s="1" t="n">
        <v>44201.60565972222</v>
      </c>
      <c r="C1056" s="1" t="n">
        <v>46011</v>
      </c>
      <c r="D1056" t="inlineStr">
        <is>
          <t>VÄSTRA GÖTALANDS LÄN</t>
        </is>
      </c>
      <c r="E1056" t="inlineStr">
        <is>
          <t>VARA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25063-2021</t>
        </is>
      </c>
      <c r="B1057" s="1" t="n">
        <v>44341.61608796296</v>
      </c>
      <c r="C1057" s="1" t="n">
        <v>46011</v>
      </c>
      <c r="D1057" t="inlineStr">
        <is>
          <t>VÄSTRA GÖTALANDS LÄN</t>
        </is>
      </c>
      <c r="E1057" t="inlineStr">
        <is>
          <t>GULLSPÅNG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25066-2021</t>
        </is>
      </c>
      <c r="B1058" s="1" t="n">
        <v>44341.62946759259</v>
      </c>
      <c r="C1058" s="1" t="n">
        <v>46011</v>
      </c>
      <c r="D1058" t="inlineStr">
        <is>
          <t>VÄSTRA GÖTALANDS LÄN</t>
        </is>
      </c>
      <c r="E1058" t="inlineStr">
        <is>
          <t>GULLSPÅNG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63326-2021</t>
        </is>
      </c>
      <c r="B1059" s="1" t="n">
        <v>44506</v>
      </c>
      <c r="C1059" s="1" t="n">
        <v>46011</v>
      </c>
      <c r="D1059" t="inlineStr">
        <is>
          <t>VÄSTRA GÖTALANDS LÄN</t>
        </is>
      </c>
      <c r="E1059" t="inlineStr">
        <is>
          <t>TANUM</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25104-2021</t>
        </is>
      </c>
      <c r="B1060" s="1" t="n">
        <v>44341</v>
      </c>
      <c r="C1060" s="1" t="n">
        <v>46011</v>
      </c>
      <c r="D1060" t="inlineStr">
        <is>
          <t>VÄSTRA GÖTALANDS LÄN</t>
        </is>
      </c>
      <c r="E1060" t="inlineStr">
        <is>
          <t>SVENLJUNGA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32067-2021</t>
        </is>
      </c>
      <c r="B1061" s="1" t="n">
        <v>44370.85549768519</v>
      </c>
      <c r="C1061" s="1" t="n">
        <v>46011</v>
      </c>
      <c r="D1061" t="inlineStr">
        <is>
          <t>VÄSTRA GÖTALANDS LÄN</t>
        </is>
      </c>
      <c r="E1061" t="inlineStr">
        <is>
          <t>TANUM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26439-2021</t>
        </is>
      </c>
      <c r="B1062" s="1" t="n">
        <v>44348.34064814815</v>
      </c>
      <c r="C1062" s="1" t="n">
        <v>46011</v>
      </c>
      <c r="D1062" t="inlineStr">
        <is>
          <t>VÄSTRA GÖTALANDS LÄN</t>
        </is>
      </c>
      <c r="E1062" t="inlineStr">
        <is>
          <t>BENGTSFORS</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26746-2021</t>
        </is>
      </c>
      <c r="B1063" s="1" t="n">
        <v>44349.41291666667</v>
      </c>
      <c r="C1063" s="1" t="n">
        <v>46011</v>
      </c>
      <c r="D1063" t="inlineStr">
        <is>
          <t>VÄSTRA GÖTALANDS LÄN</t>
        </is>
      </c>
      <c r="E1063" t="inlineStr">
        <is>
          <t>ULRICEHAMN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54012-2021</t>
        </is>
      </c>
      <c r="B1064" s="1" t="n">
        <v>44470.35111111111</v>
      </c>
      <c r="C1064" s="1" t="n">
        <v>46011</v>
      </c>
      <c r="D1064" t="inlineStr">
        <is>
          <t>VÄSTRA GÖTALANDS LÄN</t>
        </is>
      </c>
      <c r="E1064" t="inlineStr">
        <is>
          <t>SVENLJUNGA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73031-2021</t>
        </is>
      </c>
      <c r="B1065" s="1" t="n">
        <v>44550.35746527778</v>
      </c>
      <c r="C1065" s="1" t="n">
        <v>46011</v>
      </c>
      <c r="D1065" t="inlineStr">
        <is>
          <t>VÄSTRA GÖTALANDS LÄN</t>
        </is>
      </c>
      <c r="E1065" t="inlineStr">
        <is>
          <t>TIDAHOLM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33123-2021</t>
        </is>
      </c>
      <c r="B1066" s="1" t="n">
        <v>44376</v>
      </c>
      <c r="C1066" s="1" t="n">
        <v>46011</v>
      </c>
      <c r="D1066" t="inlineStr">
        <is>
          <t>VÄSTRA GÖTALANDS LÄN</t>
        </is>
      </c>
      <c r="E1066" t="inlineStr">
        <is>
          <t>ÅMÅL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20911-2021</t>
        </is>
      </c>
      <c r="B1067" s="1" t="n">
        <v>44319.44815972223</v>
      </c>
      <c r="C1067" s="1" t="n">
        <v>46011</v>
      </c>
      <c r="D1067" t="inlineStr">
        <is>
          <t>VÄSTRA GÖTALANDS LÄN</t>
        </is>
      </c>
      <c r="E1067" t="inlineStr">
        <is>
          <t>UDDEVALLA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31787-2021</t>
        </is>
      </c>
      <c r="B1068" s="1" t="n">
        <v>44370.34480324074</v>
      </c>
      <c r="C1068" s="1" t="n">
        <v>46011</v>
      </c>
      <c r="D1068" t="inlineStr">
        <is>
          <t>VÄSTRA GÖTALANDS LÄN</t>
        </is>
      </c>
      <c r="E1068" t="inlineStr">
        <is>
          <t>MARK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69322-2021</t>
        </is>
      </c>
      <c r="B1069" s="1" t="n">
        <v>44531</v>
      </c>
      <c r="C1069" s="1" t="n">
        <v>46011</v>
      </c>
      <c r="D1069" t="inlineStr">
        <is>
          <t>VÄSTRA GÖTALANDS LÄN</t>
        </is>
      </c>
      <c r="E1069" t="inlineStr">
        <is>
          <t>ULRICEHAMN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33749-2021</t>
        </is>
      </c>
      <c r="B1070" s="1" t="n">
        <v>44378</v>
      </c>
      <c r="C1070" s="1" t="n">
        <v>46011</v>
      </c>
      <c r="D1070" t="inlineStr">
        <is>
          <t>VÄSTRA GÖTALANDS LÄN</t>
        </is>
      </c>
      <c r="E1070" t="inlineStr">
        <is>
          <t>GÖTEBORG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19167-2021</t>
        </is>
      </c>
      <c r="B1071" s="1" t="n">
        <v>44308</v>
      </c>
      <c r="C1071" s="1" t="n">
        <v>46011</v>
      </c>
      <c r="D1071" t="inlineStr">
        <is>
          <t>VÄSTRA GÖTALANDS LÄN</t>
        </is>
      </c>
      <c r="E1071" t="inlineStr">
        <is>
          <t>TROLLHÄTTAN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34149-2021</t>
        </is>
      </c>
      <c r="B1072" s="1" t="n">
        <v>44379</v>
      </c>
      <c r="C1072" s="1" t="n">
        <v>46011</v>
      </c>
      <c r="D1072" t="inlineStr">
        <is>
          <t>VÄSTRA GÖTALANDS LÄN</t>
        </is>
      </c>
      <c r="E1072" t="inlineStr">
        <is>
          <t>TÖREBODA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41771-2021</t>
        </is>
      </c>
      <c r="B1073" s="1" t="n">
        <v>44425</v>
      </c>
      <c r="C1073" s="1" t="n">
        <v>46011</v>
      </c>
      <c r="D1073" t="inlineStr">
        <is>
          <t>VÄSTRA GÖTALANDS LÄN</t>
        </is>
      </c>
      <c r="E1073" t="inlineStr">
        <is>
          <t>KUNGÄLV</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4538-2021</t>
        </is>
      </c>
      <c r="B1074" s="1" t="n">
        <v>44224</v>
      </c>
      <c r="C1074" s="1" t="n">
        <v>46011</v>
      </c>
      <c r="D1074" t="inlineStr">
        <is>
          <t>VÄSTRA GÖTALANDS LÄN</t>
        </is>
      </c>
      <c r="E1074" t="inlineStr">
        <is>
          <t>GÖTENE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35776-2021</t>
        </is>
      </c>
      <c r="B1075" s="1" t="n">
        <v>44386</v>
      </c>
      <c r="C1075" s="1" t="n">
        <v>46011</v>
      </c>
      <c r="D1075" t="inlineStr">
        <is>
          <t>VÄSTRA GÖTALANDS LÄN</t>
        </is>
      </c>
      <c r="E1075" t="inlineStr">
        <is>
          <t>SKÖVDE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62409-2021</t>
        </is>
      </c>
      <c r="B1076" s="1" t="n">
        <v>44503</v>
      </c>
      <c r="C1076" s="1" t="n">
        <v>46011</v>
      </c>
      <c r="D1076" t="inlineStr">
        <is>
          <t>VÄSTRA GÖTALANDS LÄN</t>
        </is>
      </c>
      <c r="E1076" t="inlineStr">
        <is>
          <t>FALKÖPING</t>
        </is>
      </c>
      <c r="F1076" t="inlineStr">
        <is>
          <t>Naturvårdsverket</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73477-2021</t>
        </is>
      </c>
      <c r="B1077" s="1" t="n">
        <v>44551</v>
      </c>
      <c r="C1077" s="1" t="n">
        <v>46011</v>
      </c>
      <c r="D1077" t="inlineStr">
        <is>
          <t>VÄSTRA GÖTALANDS LÄN</t>
        </is>
      </c>
      <c r="E1077" t="inlineStr">
        <is>
          <t>VÄNERSBORG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64999-2021</t>
        </is>
      </c>
      <c r="B1078" s="1" t="n">
        <v>44514</v>
      </c>
      <c r="C1078" s="1" t="n">
        <v>46011</v>
      </c>
      <c r="D1078" t="inlineStr">
        <is>
          <t>VÄSTRA GÖTALANDS LÄN</t>
        </is>
      </c>
      <c r="E1078" t="inlineStr">
        <is>
          <t>ÅMÅL</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60406-2021</t>
        </is>
      </c>
      <c r="B1079" s="1" t="n">
        <v>44496.39097222222</v>
      </c>
      <c r="C1079" s="1" t="n">
        <v>46011</v>
      </c>
      <c r="D1079" t="inlineStr">
        <is>
          <t>VÄSTRA GÖTALANDS LÄN</t>
        </is>
      </c>
      <c r="E1079" t="inlineStr">
        <is>
          <t>HERRLJUNGA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70363-2021</t>
        </is>
      </c>
      <c r="B1080" s="1" t="n">
        <v>44535</v>
      </c>
      <c r="C1080" s="1" t="n">
        <v>46011</v>
      </c>
      <c r="D1080" t="inlineStr">
        <is>
          <t>VÄSTRA GÖTALANDS LÄN</t>
        </is>
      </c>
      <c r="E1080" t="inlineStr">
        <is>
          <t>ÅMÅL</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70367-2021</t>
        </is>
      </c>
      <c r="B1081" s="1" t="n">
        <v>44536</v>
      </c>
      <c r="C1081" s="1" t="n">
        <v>46011</v>
      </c>
      <c r="D1081" t="inlineStr">
        <is>
          <t>VÄSTRA GÖTALANDS LÄN</t>
        </is>
      </c>
      <c r="E1081" t="inlineStr">
        <is>
          <t>DALS-ED</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46841-2021</t>
        </is>
      </c>
      <c r="B1082" s="1" t="n">
        <v>44446</v>
      </c>
      <c r="C1082" s="1" t="n">
        <v>46011</v>
      </c>
      <c r="D1082" t="inlineStr">
        <is>
          <t>VÄSTRA GÖTALANDS LÄN</t>
        </is>
      </c>
      <c r="E1082" t="inlineStr">
        <is>
          <t>MARIESTAD</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63401-2021</t>
        </is>
      </c>
      <c r="B1083" s="1" t="n">
        <v>44508</v>
      </c>
      <c r="C1083" s="1" t="n">
        <v>46011</v>
      </c>
      <c r="D1083" t="inlineStr">
        <is>
          <t>VÄSTRA GÖTALANDS LÄN</t>
        </is>
      </c>
      <c r="E1083" t="inlineStr">
        <is>
          <t>BENGTSFORS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54914-2021</t>
        </is>
      </c>
      <c r="B1084" s="1" t="n">
        <v>44474</v>
      </c>
      <c r="C1084" s="1" t="n">
        <v>46011</v>
      </c>
      <c r="D1084" t="inlineStr">
        <is>
          <t>VÄSTRA GÖTALANDS LÄN</t>
        </is>
      </c>
      <c r="E1084" t="inlineStr">
        <is>
          <t>HERRLJUNGA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54920-2021</t>
        </is>
      </c>
      <c r="B1085" s="1" t="n">
        <v>44474.42125</v>
      </c>
      <c r="C1085" s="1" t="n">
        <v>46011</v>
      </c>
      <c r="D1085" t="inlineStr">
        <is>
          <t>VÄSTRA GÖTALANDS LÄN</t>
        </is>
      </c>
      <c r="E1085" t="inlineStr">
        <is>
          <t>HERRLJUNGA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62855-2021</t>
        </is>
      </c>
      <c r="B1086" s="1" t="n">
        <v>44504.58171296296</v>
      </c>
      <c r="C1086" s="1" t="n">
        <v>46011</v>
      </c>
      <c r="D1086" t="inlineStr">
        <is>
          <t>VÄSTRA GÖTALANDS LÄN</t>
        </is>
      </c>
      <c r="E1086" t="inlineStr">
        <is>
          <t>ALE</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68569-2020</t>
        </is>
      </c>
      <c r="B1087" s="1" t="n">
        <v>44186</v>
      </c>
      <c r="C1087" s="1" t="n">
        <v>46011</v>
      </c>
      <c r="D1087" t="inlineStr">
        <is>
          <t>VÄSTRA GÖTALANDS LÄN</t>
        </is>
      </c>
      <c r="E1087" t="inlineStr">
        <is>
          <t>VÅRGÅRDA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6111-2022</t>
        </is>
      </c>
      <c r="B1088" s="1" t="n">
        <v>44599</v>
      </c>
      <c r="C1088" s="1" t="n">
        <v>46011</v>
      </c>
      <c r="D1088" t="inlineStr">
        <is>
          <t>VÄSTRA GÖTALANDS LÄN</t>
        </is>
      </c>
      <c r="E1088" t="inlineStr">
        <is>
          <t>HÄRRYDA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42794-2022</t>
        </is>
      </c>
      <c r="B1089" s="1" t="n">
        <v>44832</v>
      </c>
      <c r="C1089" s="1" t="n">
        <v>46011</v>
      </c>
      <c r="D1089" t="inlineStr">
        <is>
          <t>VÄSTRA GÖTALANDS LÄN</t>
        </is>
      </c>
      <c r="E1089" t="inlineStr">
        <is>
          <t>TIDAHOLM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7792-2021</t>
        </is>
      </c>
      <c r="B1090" s="1" t="n">
        <v>44242</v>
      </c>
      <c r="C1090" s="1" t="n">
        <v>46011</v>
      </c>
      <c r="D1090" t="inlineStr">
        <is>
          <t>VÄSTRA GÖTALANDS LÄN</t>
        </is>
      </c>
      <c r="E1090" t="inlineStr">
        <is>
          <t>STRÖMSTAD</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9653-2021</t>
        </is>
      </c>
      <c r="B1091" s="1" t="n">
        <v>44252</v>
      </c>
      <c r="C1091" s="1" t="n">
        <v>46011</v>
      </c>
      <c r="D1091" t="inlineStr">
        <is>
          <t>VÄSTRA GÖTALANDS LÄN</t>
        </is>
      </c>
      <c r="E1091" t="inlineStr">
        <is>
          <t>FALKÖPING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16621-2021</t>
        </is>
      </c>
      <c r="B1092" s="1" t="n">
        <v>44294.39475694444</v>
      </c>
      <c r="C1092" s="1" t="n">
        <v>46011</v>
      </c>
      <c r="D1092" t="inlineStr">
        <is>
          <t>VÄSTRA GÖTALANDS LÄN</t>
        </is>
      </c>
      <c r="E1092" t="inlineStr">
        <is>
          <t>ULRICEHAMN</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5192-2022</t>
        </is>
      </c>
      <c r="B1093" s="1" t="n">
        <v>44594</v>
      </c>
      <c r="C1093" s="1" t="n">
        <v>46011</v>
      </c>
      <c r="D1093" t="inlineStr">
        <is>
          <t>VÄSTRA GÖTALANDS LÄN</t>
        </is>
      </c>
      <c r="E1093" t="inlineStr">
        <is>
          <t>SKÖVDE</t>
        </is>
      </c>
      <c r="F1093" t="inlineStr">
        <is>
          <t>Kommuner</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5228-2022</t>
        </is>
      </c>
      <c r="B1094" s="1" t="n">
        <v>44594.49887731481</v>
      </c>
      <c r="C1094" s="1" t="n">
        <v>46011</v>
      </c>
      <c r="D1094" t="inlineStr">
        <is>
          <t>VÄSTRA GÖTALANDS LÄN</t>
        </is>
      </c>
      <c r="E1094" t="inlineStr">
        <is>
          <t>TIDAHOLM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5234-2022</t>
        </is>
      </c>
      <c r="B1095" s="1" t="n">
        <v>44594.50368055556</v>
      </c>
      <c r="C1095" s="1" t="n">
        <v>46011</v>
      </c>
      <c r="D1095" t="inlineStr">
        <is>
          <t>VÄSTRA GÖTALANDS LÄN</t>
        </is>
      </c>
      <c r="E1095" t="inlineStr">
        <is>
          <t>TROLLHÄTTAN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9572-2022</t>
        </is>
      </c>
      <c r="B1096" s="1" t="n">
        <v>44617.45087962963</v>
      </c>
      <c r="C1096" s="1" t="n">
        <v>46011</v>
      </c>
      <c r="D1096" t="inlineStr">
        <is>
          <t>VÄSTRA GÖTALANDS LÄN</t>
        </is>
      </c>
      <c r="E1096" t="inlineStr">
        <is>
          <t>BORÅS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3897-2021</t>
        </is>
      </c>
      <c r="B1097" s="1" t="n">
        <v>44217</v>
      </c>
      <c r="C1097" s="1" t="n">
        <v>46011</v>
      </c>
      <c r="D1097" t="inlineStr">
        <is>
          <t>VÄSTRA GÖTALANDS LÄN</t>
        </is>
      </c>
      <c r="E1097" t="inlineStr">
        <is>
          <t>TROLLHÄTTAN</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21453-2022</t>
        </is>
      </c>
      <c r="B1098" s="1" t="n">
        <v>44706.37280092593</v>
      </c>
      <c r="C1098" s="1" t="n">
        <v>46011</v>
      </c>
      <c r="D1098" t="inlineStr">
        <is>
          <t>VÄSTRA GÖTALANDS LÄN</t>
        </is>
      </c>
      <c r="E1098" t="inlineStr">
        <is>
          <t>SVENLJUNGA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16284-2021</t>
        </is>
      </c>
      <c r="B1099" s="1" t="n">
        <v>44292</v>
      </c>
      <c r="C1099" s="1" t="n">
        <v>46011</v>
      </c>
      <c r="D1099" t="inlineStr">
        <is>
          <t>VÄSTRA GÖTALANDS LÄN</t>
        </is>
      </c>
      <c r="E1099" t="inlineStr">
        <is>
          <t>GULLSPÅNG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10460-2022</t>
        </is>
      </c>
      <c r="B1100" s="1" t="n">
        <v>44623.57480324074</v>
      </c>
      <c r="C1100" s="1" t="n">
        <v>46011</v>
      </c>
      <c r="D1100" t="inlineStr">
        <is>
          <t>VÄSTRA GÖTALANDS LÄN</t>
        </is>
      </c>
      <c r="E1100" t="inlineStr">
        <is>
          <t>HÄRRYDA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13462-2021</t>
        </is>
      </c>
      <c r="B1101" s="1" t="n">
        <v>44273</v>
      </c>
      <c r="C1101" s="1" t="n">
        <v>46011</v>
      </c>
      <c r="D1101" t="inlineStr">
        <is>
          <t>VÄSTRA GÖTALANDS LÄN</t>
        </is>
      </c>
      <c r="E1101" t="inlineStr">
        <is>
          <t>ALE</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25811-2022</t>
        </is>
      </c>
      <c r="B1102" s="1" t="n">
        <v>44733</v>
      </c>
      <c r="C1102" s="1" t="n">
        <v>46011</v>
      </c>
      <c r="D1102" t="inlineStr">
        <is>
          <t>VÄSTRA GÖTALANDS LÄN</t>
        </is>
      </c>
      <c r="E1102" t="inlineStr">
        <is>
          <t>UDDEVALLA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25830-2022</t>
        </is>
      </c>
      <c r="B1103" s="1" t="n">
        <v>44733</v>
      </c>
      <c r="C1103" s="1" t="n">
        <v>46011</v>
      </c>
      <c r="D1103" t="inlineStr">
        <is>
          <t>VÄSTRA GÖTALANDS LÄN</t>
        </is>
      </c>
      <c r="E1103" t="inlineStr">
        <is>
          <t>ÅMÅL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17976-2022</t>
        </is>
      </c>
      <c r="B1104" s="1" t="n">
        <v>44683</v>
      </c>
      <c r="C1104" s="1" t="n">
        <v>46011</v>
      </c>
      <c r="D1104" t="inlineStr">
        <is>
          <t>VÄSTRA GÖTALANDS LÄN</t>
        </is>
      </c>
      <c r="E1104" t="inlineStr">
        <is>
          <t>BORÅS</t>
        </is>
      </c>
      <c r="F1104" t="inlineStr">
        <is>
          <t>Kyrkan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416-2022</t>
        </is>
      </c>
      <c r="B1105" s="1" t="n">
        <v>44565.84197916667</v>
      </c>
      <c r="C1105" s="1" t="n">
        <v>46011</v>
      </c>
      <c r="D1105" t="inlineStr">
        <is>
          <t>VÄSTRA GÖTALANDS LÄN</t>
        </is>
      </c>
      <c r="E1105" t="inlineStr">
        <is>
          <t>VÄNERSBORG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8134-2022</t>
        </is>
      </c>
      <c r="B1106" s="1" t="n">
        <v>44609.60418981482</v>
      </c>
      <c r="C1106" s="1" t="n">
        <v>46011</v>
      </c>
      <c r="D1106" t="inlineStr">
        <is>
          <t>VÄSTRA GÖTALANDS LÄN</t>
        </is>
      </c>
      <c r="E1106" t="inlineStr">
        <is>
          <t>SKÖVDE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18082-2022</t>
        </is>
      </c>
      <c r="B1107" s="1" t="n">
        <v>44684</v>
      </c>
      <c r="C1107" s="1" t="n">
        <v>46011</v>
      </c>
      <c r="D1107" t="inlineStr">
        <is>
          <t>VÄSTRA GÖTALANDS LÄN</t>
        </is>
      </c>
      <c r="E1107" t="inlineStr">
        <is>
          <t>TÖREBODA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7398-2022</t>
        </is>
      </c>
      <c r="B1108" s="1" t="n">
        <v>44606.65796296296</v>
      </c>
      <c r="C1108" s="1" t="n">
        <v>46011</v>
      </c>
      <c r="D1108" t="inlineStr">
        <is>
          <t>VÄSTRA GÖTALANDS LÄN</t>
        </is>
      </c>
      <c r="E1108" t="inlineStr">
        <is>
          <t>ESSUNGA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11434-2022</t>
        </is>
      </c>
      <c r="B1109" s="1" t="n">
        <v>44630.61761574074</v>
      </c>
      <c r="C1109" s="1" t="n">
        <v>46011</v>
      </c>
      <c r="D1109" t="inlineStr">
        <is>
          <t>VÄSTRA GÖTALANDS LÄN</t>
        </is>
      </c>
      <c r="E1109" t="inlineStr">
        <is>
          <t>TIDAHOLM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4577-2021</t>
        </is>
      </c>
      <c r="B1110" s="1" t="n">
        <v>44223</v>
      </c>
      <c r="C1110" s="1" t="n">
        <v>46011</v>
      </c>
      <c r="D1110" t="inlineStr">
        <is>
          <t>VÄSTRA GÖTALANDS LÄN</t>
        </is>
      </c>
      <c r="E1110" t="inlineStr">
        <is>
          <t>SVENLJUNGA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42451-2021</t>
        </is>
      </c>
      <c r="B1111" s="1" t="n">
        <v>44427</v>
      </c>
      <c r="C1111" s="1" t="n">
        <v>46011</v>
      </c>
      <c r="D1111" t="inlineStr">
        <is>
          <t>VÄSTRA GÖTALANDS LÄN</t>
        </is>
      </c>
      <c r="E1111" t="inlineStr">
        <is>
          <t>ALINGSÅS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15835-2022</t>
        </is>
      </c>
      <c r="B1112" s="1" t="n">
        <v>44664</v>
      </c>
      <c r="C1112" s="1" t="n">
        <v>46011</v>
      </c>
      <c r="D1112" t="inlineStr">
        <is>
          <t>VÄSTRA GÖTALANDS LÄN</t>
        </is>
      </c>
      <c r="E1112" t="inlineStr">
        <is>
          <t>MUNKEDAL</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18592-2022</t>
        </is>
      </c>
      <c r="B1113" s="1" t="n">
        <v>44687</v>
      </c>
      <c r="C1113" s="1" t="n">
        <v>46011</v>
      </c>
      <c r="D1113" t="inlineStr">
        <is>
          <t>VÄSTRA GÖTALANDS LÄN</t>
        </is>
      </c>
      <c r="E1113" t="inlineStr">
        <is>
          <t>SVENLJUNGA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41722-2022</t>
        </is>
      </c>
      <c r="B1114" s="1" t="n">
        <v>44827</v>
      </c>
      <c r="C1114" s="1" t="n">
        <v>46011</v>
      </c>
      <c r="D1114" t="inlineStr">
        <is>
          <t>VÄSTRA GÖTALANDS LÄN</t>
        </is>
      </c>
      <c r="E1114" t="inlineStr">
        <is>
          <t>GÖTENE</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42563-2022</t>
        </is>
      </c>
      <c r="B1115" s="1" t="n">
        <v>44831.66313657408</v>
      </c>
      <c r="C1115" s="1" t="n">
        <v>46011</v>
      </c>
      <c r="D1115" t="inlineStr">
        <is>
          <t>VÄSTRA GÖTALANDS LÄN</t>
        </is>
      </c>
      <c r="E1115" t="inlineStr">
        <is>
          <t>LIDKÖPING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22704-2022</t>
        </is>
      </c>
      <c r="B1116" s="1" t="n">
        <v>44714.57858796296</v>
      </c>
      <c r="C1116" s="1" t="n">
        <v>46011</v>
      </c>
      <c r="D1116" t="inlineStr">
        <is>
          <t>VÄSTRA GÖTALANDS LÄN</t>
        </is>
      </c>
      <c r="E1116" t="inlineStr">
        <is>
          <t>BENGTSFORS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4706-2021</t>
        </is>
      </c>
      <c r="B1117" s="1" t="n">
        <v>44225.30083333333</v>
      </c>
      <c r="C1117" s="1" t="n">
        <v>46011</v>
      </c>
      <c r="D1117" t="inlineStr">
        <is>
          <t>VÄSTRA GÖTALANDS LÄN</t>
        </is>
      </c>
      <c r="E1117" t="inlineStr">
        <is>
          <t>HERRLJUNGA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72137-2021</t>
        </is>
      </c>
      <c r="B1118" s="1" t="n">
        <v>44544.59994212963</v>
      </c>
      <c r="C1118" s="1" t="n">
        <v>46011</v>
      </c>
      <c r="D1118" t="inlineStr">
        <is>
          <t>VÄSTRA GÖTALANDS LÄN</t>
        </is>
      </c>
      <c r="E1118" t="inlineStr">
        <is>
          <t>BORÅS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40283-2021</t>
        </is>
      </c>
      <c r="B1119" s="1" t="n">
        <v>44419.44546296296</v>
      </c>
      <c r="C1119" s="1" t="n">
        <v>46011</v>
      </c>
      <c r="D1119" t="inlineStr">
        <is>
          <t>VÄSTRA GÖTALANDS LÄN</t>
        </is>
      </c>
      <c r="E1119" t="inlineStr">
        <is>
          <t>SVENLJUNGA</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31984-2021</t>
        </is>
      </c>
      <c r="B1120" s="1" t="n">
        <v>44370</v>
      </c>
      <c r="C1120" s="1" t="n">
        <v>46011</v>
      </c>
      <c r="D1120" t="inlineStr">
        <is>
          <t>VÄSTRA GÖTALANDS LÄN</t>
        </is>
      </c>
      <c r="E1120" t="inlineStr">
        <is>
          <t>SKARA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15009-2021</t>
        </is>
      </c>
      <c r="B1121" s="1" t="n">
        <v>44281.5744212963</v>
      </c>
      <c r="C1121" s="1" t="n">
        <v>46011</v>
      </c>
      <c r="D1121" t="inlineStr">
        <is>
          <t>VÄSTRA GÖTALANDS LÄN</t>
        </is>
      </c>
      <c r="E1121" t="inlineStr">
        <is>
          <t>DALS-ED</t>
        </is>
      </c>
      <c r="F1121" t="inlineStr">
        <is>
          <t>Övriga Aktiebolag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12978-2021</t>
        </is>
      </c>
      <c r="B1122" s="1" t="n">
        <v>44271</v>
      </c>
      <c r="C1122" s="1" t="n">
        <v>46011</v>
      </c>
      <c r="D1122" t="inlineStr">
        <is>
          <t>VÄSTRA GÖTALANDS LÄN</t>
        </is>
      </c>
      <c r="E1122" t="inlineStr">
        <is>
          <t>LERUM</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28407-2021</t>
        </is>
      </c>
      <c r="B1123" s="1" t="n">
        <v>44356</v>
      </c>
      <c r="C1123" s="1" t="n">
        <v>46011</v>
      </c>
      <c r="D1123" t="inlineStr">
        <is>
          <t>VÄSTRA GÖTALANDS LÄN</t>
        </is>
      </c>
      <c r="E1123" t="inlineStr">
        <is>
          <t>MARIESTAD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53893-2022</t>
        </is>
      </c>
      <c r="B1124" s="1" t="n">
        <v>44880.71259259259</v>
      </c>
      <c r="C1124" s="1" t="n">
        <v>46011</v>
      </c>
      <c r="D1124" t="inlineStr">
        <is>
          <t>VÄSTRA GÖTALANDS LÄN</t>
        </is>
      </c>
      <c r="E1124" t="inlineStr">
        <is>
          <t>SVENLJUNGA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34906-2022</t>
        </is>
      </c>
      <c r="B1125" s="1" t="n">
        <v>44796.56913194444</v>
      </c>
      <c r="C1125" s="1" t="n">
        <v>46011</v>
      </c>
      <c r="D1125" t="inlineStr">
        <is>
          <t>VÄSTRA GÖTALANDS LÄN</t>
        </is>
      </c>
      <c r="E1125" t="inlineStr">
        <is>
          <t>VARA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62632-2021</t>
        </is>
      </c>
      <c r="B1126" s="1" t="n">
        <v>44503</v>
      </c>
      <c r="C1126" s="1" t="n">
        <v>46011</v>
      </c>
      <c r="D1126" t="inlineStr">
        <is>
          <t>VÄSTRA GÖTALANDS LÄN</t>
        </is>
      </c>
      <c r="E1126" t="inlineStr">
        <is>
          <t>TÖREBODA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62633-2021</t>
        </is>
      </c>
      <c r="B1127" s="1" t="n">
        <v>44503</v>
      </c>
      <c r="C1127" s="1" t="n">
        <v>46011</v>
      </c>
      <c r="D1127" t="inlineStr">
        <is>
          <t>VÄSTRA GÖTALANDS LÄN</t>
        </is>
      </c>
      <c r="E1127" t="inlineStr">
        <is>
          <t>TÖREBODA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20270-2021</t>
        </is>
      </c>
      <c r="B1128" s="1" t="n">
        <v>44314</v>
      </c>
      <c r="C1128" s="1" t="n">
        <v>46011</v>
      </c>
      <c r="D1128" t="inlineStr">
        <is>
          <t>VÄSTRA GÖTALANDS LÄN</t>
        </is>
      </c>
      <c r="E1128" t="inlineStr">
        <is>
          <t>VÅRGÅRDA</t>
        </is>
      </c>
      <c r="F1128" t="inlineStr">
        <is>
          <t>Kyrkan</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21080-2021</t>
        </is>
      </c>
      <c r="B1129" s="1" t="n">
        <v>44319</v>
      </c>
      <c r="C1129" s="1" t="n">
        <v>46011</v>
      </c>
      <c r="D1129" t="inlineStr">
        <is>
          <t>VÄSTRA GÖTALANDS LÄN</t>
        </is>
      </c>
      <c r="E1129" t="inlineStr">
        <is>
          <t>TROLLHÄTTAN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20631-2021</t>
        </is>
      </c>
      <c r="B1130" s="1" t="n">
        <v>44316.39745370371</v>
      </c>
      <c r="C1130" s="1" t="n">
        <v>46011</v>
      </c>
      <c r="D1130" t="inlineStr">
        <is>
          <t>VÄSTRA GÖTALANDS LÄN</t>
        </is>
      </c>
      <c r="E1130" t="inlineStr">
        <is>
          <t>VÅRGÅRDA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9153-2022</t>
        </is>
      </c>
      <c r="B1131" s="1" t="n">
        <v>44615.63362268519</v>
      </c>
      <c r="C1131" s="1" t="n">
        <v>46011</v>
      </c>
      <c r="D1131" t="inlineStr">
        <is>
          <t>VÄSTRA GÖTALANDS LÄN</t>
        </is>
      </c>
      <c r="E1131" t="inlineStr">
        <is>
          <t>DALS-ED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10333-2021</t>
        </is>
      </c>
      <c r="B1132" s="1" t="n">
        <v>44257</v>
      </c>
      <c r="C1132" s="1" t="n">
        <v>46011</v>
      </c>
      <c r="D1132" t="inlineStr">
        <is>
          <t>VÄSTRA GÖTALANDS LÄN</t>
        </is>
      </c>
      <c r="E1132" t="inlineStr">
        <is>
          <t>VÄNERSBORG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10351-2021</t>
        </is>
      </c>
      <c r="B1133" s="1" t="n">
        <v>44257</v>
      </c>
      <c r="C1133" s="1" t="n">
        <v>46011</v>
      </c>
      <c r="D1133" t="inlineStr">
        <is>
          <t>VÄSTRA GÖTALANDS LÄN</t>
        </is>
      </c>
      <c r="E1133" t="inlineStr">
        <is>
          <t>HÄRRYDA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2991-2022</t>
        </is>
      </c>
      <c r="B1134" s="1" t="n">
        <v>44581</v>
      </c>
      <c r="C1134" s="1" t="n">
        <v>46011</v>
      </c>
      <c r="D1134" t="inlineStr">
        <is>
          <t>VÄSTRA GÖTALANDS LÄN</t>
        </is>
      </c>
      <c r="E1134" t="inlineStr">
        <is>
          <t>LILLA EDET</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5311-2022</t>
        </is>
      </c>
      <c r="B1135" s="1" t="n">
        <v>44594</v>
      </c>
      <c r="C1135" s="1" t="n">
        <v>46011</v>
      </c>
      <c r="D1135" t="inlineStr">
        <is>
          <t>VÄSTRA GÖTALANDS LÄN</t>
        </is>
      </c>
      <c r="E1135" t="inlineStr">
        <is>
          <t>LYSEKIL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36685-2021</t>
        </is>
      </c>
      <c r="B1136" s="1" t="n">
        <v>44392</v>
      </c>
      <c r="C1136" s="1" t="n">
        <v>46011</v>
      </c>
      <c r="D1136" t="inlineStr">
        <is>
          <t>VÄSTRA GÖTALANDS LÄN</t>
        </is>
      </c>
      <c r="E1136" t="inlineStr">
        <is>
          <t>TIDAHOLM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37242-2021</t>
        </is>
      </c>
      <c r="B1137" s="1" t="n">
        <v>44396</v>
      </c>
      <c r="C1137" s="1" t="n">
        <v>46011</v>
      </c>
      <c r="D1137" t="inlineStr">
        <is>
          <t>VÄSTRA GÖTALANDS LÄN</t>
        </is>
      </c>
      <c r="E1137" t="inlineStr">
        <is>
          <t>TIBRO</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37243-2021</t>
        </is>
      </c>
      <c r="B1138" s="1" t="n">
        <v>44396</v>
      </c>
      <c r="C1138" s="1" t="n">
        <v>46011</v>
      </c>
      <c r="D1138" t="inlineStr">
        <is>
          <t>VÄSTRA GÖTALANDS LÄN</t>
        </is>
      </c>
      <c r="E1138" t="inlineStr">
        <is>
          <t>TIBRO</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13357-2022</t>
        </is>
      </c>
      <c r="B1139" s="1" t="n">
        <v>44645</v>
      </c>
      <c r="C1139" s="1" t="n">
        <v>46011</v>
      </c>
      <c r="D1139" t="inlineStr">
        <is>
          <t>VÄSTRA GÖTALANDS LÄN</t>
        </is>
      </c>
      <c r="E1139" t="inlineStr">
        <is>
          <t>GÖTENE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46629-2021</t>
        </is>
      </c>
      <c r="B1140" s="1" t="n">
        <v>44445</v>
      </c>
      <c r="C1140" s="1" t="n">
        <v>46011</v>
      </c>
      <c r="D1140" t="inlineStr">
        <is>
          <t>VÄSTRA GÖTALANDS LÄN</t>
        </is>
      </c>
      <c r="E1140" t="inlineStr">
        <is>
          <t>ORUST</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46649-2021</t>
        </is>
      </c>
      <c r="B1141" s="1" t="n">
        <v>44445</v>
      </c>
      <c r="C1141" s="1" t="n">
        <v>46011</v>
      </c>
      <c r="D1141" t="inlineStr">
        <is>
          <t>VÄSTRA GÖTALANDS LÄN</t>
        </is>
      </c>
      <c r="E1141" t="inlineStr">
        <is>
          <t>SKÖVDE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28213-2021</t>
        </is>
      </c>
      <c r="B1142" s="1" t="n">
        <v>44355.64831018518</v>
      </c>
      <c r="C1142" s="1" t="n">
        <v>46011</v>
      </c>
      <c r="D1142" t="inlineStr">
        <is>
          <t>VÄSTRA GÖTALANDS LÄN</t>
        </is>
      </c>
      <c r="E1142" t="inlineStr">
        <is>
          <t>BORÅS</t>
        </is>
      </c>
      <c r="F1142" t="inlineStr">
        <is>
          <t>Kommuner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23790-2021</t>
        </is>
      </c>
      <c r="B1143" s="1" t="n">
        <v>44334</v>
      </c>
      <c r="C1143" s="1" t="n">
        <v>46011</v>
      </c>
      <c r="D1143" t="inlineStr">
        <is>
          <t>VÄSTRA GÖTALANDS LÄN</t>
        </is>
      </c>
      <c r="E1143" t="inlineStr">
        <is>
          <t>TIBRO</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45833-2021</t>
        </is>
      </c>
      <c r="B1144" s="1" t="n">
        <v>44441</v>
      </c>
      <c r="C1144" s="1" t="n">
        <v>46011</v>
      </c>
      <c r="D1144" t="inlineStr">
        <is>
          <t>VÄSTRA GÖTALANDS LÄN</t>
        </is>
      </c>
      <c r="E1144" t="inlineStr">
        <is>
          <t>HERRLJUNGA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17967-2022</t>
        </is>
      </c>
      <c r="B1145" s="1" t="n">
        <v>44683</v>
      </c>
      <c r="C1145" s="1" t="n">
        <v>46011</v>
      </c>
      <c r="D1145" t="inlineStr">
        <is>
          <t>VÄSTRA GÖTALANDS LÄN</t>
        </is>
      </c>
      <c r="E1145" t="inlineStr">
        <is>
          <t>MUNKEDAL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9847-2022</t>
        </is>
      </c>
      <c r="B1146" s="1" t="n">
        <v>44620</v>
      </c>
      <c r="C1146" s="1" t="n">
        <v>46011</v>
      </c>
      <c r="D1146" t="inlineStr">
        <is>
          <t>VÄSTRA GÖTALANDS LÄN</t>
        </is>
      </c>
      <c r="E1146" t="inlineStr">
        <is>
          <t>VARA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17058-2021</t>
        </is>
      </c>
      <c r="B1147" s="1" t="n">
        <v>44296</v>
      </c>
      <c r="C1147" s="1" t="n">
        <v>46011</v>
      </c>
      <c r="D1147" t="inlineStr">
        <is>
          <t>VÄSTRA GÖTALANDS LÄN</t>
        </is>
      </c>
      <c r="E1147" t="inlineStr">
        <is>
          <t>TRANEMO</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17063-2021</t>
        </is>
      </c>
      <c r="B1148" s="1" t="n">
        <v>44297</v>
      </c>
      <c r="C1148" s="1" t="n">
        <v>46011</v>
      </c>
      <c r="D1148" t="inlineStr">
        <is>
          <t>VÄSTRA GÖTALANDS LÄN</t>
        </is>
      </c>
      <c r="E1148" t="inlineStr">
        <is>
          <t>TIDAHOLM</t>
        </is>
      </c>
      <c r="F1148" t="inlineStr">
        <is>
          <t>Kyrkan</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65698-2021</t>
        </is>
      </c>
      <c r="B1149" s="1" t="n">
        <v>44516.6296875</v>
      </c>
      <c r="C1149" s="1" t="n">
        <v>46011</v>
      </c>
      <c r="D1149" t="inlineStr">
        <is>
          <t>VÄSTRA GÖTALANDS LÄN</t>
        </is>
      </c>
      <c r="E1149" t="inlineStr">
        <is>
          <t>MÖLNDAL</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24464-2021</t>
        </is>
      </c>
      <c r="B1150" s="1" t="n">
        <v>44337.61608796296</v>
      </c>
      <c r="C1150" s="1" t="n">
        <v>46011</v>
      </c>
      <c r="D1150" t="inlineStr">
        <is>
          <t>VÄSTRA GÖTALANDS LÄN</t>
        </is>
      </c>
      <c r="E1150" t="inlineStr">
        <is>
          <t>SVENLJUNGA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46548-2021</t>
        </is>
      </c>
      <c r="B1151" s="1" t="n">
        <v>44445</v>
      </c>
      <c r="C1151" s="1" t="n">
        <v>46011</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49026-2021</t>
        </is>
      </c>
      <c r="B1152" s="1" t="n">
        <v>44453</v>
      </c>
      <c r="C1152" s="1" t="n">
        <v>46011</v>
      </c>
      <c r="D1152" t="inlineStr">
        <is>
          <t>VÄSTRA GÖTALANDS LÄN</t>
        </is>
      </c>
      <c r="E1152" t="inlineStr">
        <is>
          <t>GULLSPÅNG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17057-2021</t>
        </is>
      </c>
      <c r="B1153" s="1" t="n">
        <v>44296.53216435185</v>
      </c>
      <c r="C1153" s="1" t="n">
        <v>46011</v>
      </c>
      <c r="D1153" t="inlineStr">
        <is>
          <t>VÄSTRA GÖTALANDS LÄN</t>
        </is>
      </c>
      <c r="E1153" t="inlineStr">
        <is>
          <t>TRANEMO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10645-2021</t>
        </is>
      </c>
      <c r="B1154" s="1" t="n">
        <v>44258</v>
      </c>
      <c r="C1154" s="1" t="n">
        <v>46011</v>
      </c>
      <c r="D1154" t="inlineStr">
        <is>
          <t>VÄSTRA GÖTALANDS LÄN</t>
        </is>
      </c>
      <c r="E1154" t="inlineStr">
        <is>
          <t>FALKÖPING</t>
        </is>
      </c>
      <c r="F1154" t="inlineStr">
        <is>
          <t>Kyrkan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11526-2021</t>
        </is>
      </c>
      <c r="B1155" s="1" t="n">
        <v>44264</v>
      </c>
      <c r="C1155" s="1" t="n">
        <v>46011</v>
      </c>
      <c r="D1155" t="inlineStr">
        <is>
          <t>VÄSTRA GÖTALANDS LÄN</t>
        </is>
      </c>
      <c r="E1155" t="inlineStr">
        <is>
          <t>DALS-ED</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39654-2021</t>
        </is>
      </c>
      <c r="B1156" s="1" t="n">
        <v>44417.41164351852</v>
      </c>
      <c r="C1156" s="1" t="n">
        <v>46011</v>
      </c>
      <c r="D1156" t="inlineStr">
        <is>
          <t>VÄSTRA GÖTALANDS LÄN</t>
        </is>
      </c>
      <c r="E1156" t="inlineStr">
        <is>
          <t>HERRLJUNGA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14274-2021</t>
        </is>
      </c>
      <c r="B1157" s="1" t="n">
        <v>44278</v>
      </c>
      <c r="C1157" s="1" t="n">
        <v>46011</v>
      </c>
      <c r="D1157" t="inlineStr">
        <is>
          <t>VÄSTRA GÖTALANDS LÄN</t>
        </is>
      </c>
      <c r="E1157" t="inlineStr">
        <is>
          <t>GULLSPÅNG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37721-2021</t>
        </is>
      </c>
      <c r="B1158" s="1" t="n">
        <v>44400</v>
      </c>
      <c r="C1158" s="1" t="n">
        <v>46011</v>
      </c>
      <c r="D1158" t="inlineStr">
        <is>
          <t>VÄSTRA GÖTALANDS LÄN</t>
        </is>
      </c>
      <c r="E1158" t="inlineStr">
        <is>
          <t>TANUM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7324-2022</t>
        </is>
      </c>
      <c r="B1159" s="1" t="n">
        <v>44606.53486111111</v>
      </c>
      <c r="C1159" s="1" t="n">
        <v>46011</v>
      </c>
      <c r="D1159" t="inlineStr">
        <is>
          <t>VÄSTRA GÖTALANDS LÄN</t>
        </is>
      </c>
      <c r="E1159" t="inlineStr">
        <is>
          <t>ULRICEHAMN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43356-2021</t>
        </is>
      </c>
      <c r="B1160" s="1" t="n">
        <v>44432</v>
      </c>
      <c r="C1160" s="1" t="n">
        <v>46011</v>
      </c>
      <c r="D1160" t="inlineStr">
        <is>
          <t>VÄSTRA GÖTALANDS LÄN</t>
        </is>
      </c>
      <c r="E1160" t="inlineStr">
        <is>
          <t>VARA</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34888-2021</t>
        </is>
      </c>
      <c r="B1161" s="1" t="n">
        <v>44383.48355324074</v>
      </c>
      <c r="C1161" s="1" t="n">
        <v>46011</v>
      </c>
      <c r="D1161" t="inlineStr">
        <is>
          <t>VÄSTRA GÖTALANDS LÄN</t>
        </is>
      </c>
      <c r="E1161" t="inlineStr">
        <is>
          <t>TÖREBODA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72891-2021</t>
        </is>
      </c>
      <c r="B1162" s="1" t="n">
        <v>44547</v>
      </c>
      <c r="C1162" s="1" t="n">
        <v>46011</v>
      </c>
      <c r="D1162" t="inlineStr">
        <is>
          <t>VÄSTRA GÖTALANDS LÄN</t>
        </is>
      </c>
      <c r="E1162" t="inlineStr">
        <is>
          <t>HÄRRYDA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34168-2021</t>
        </is>
      </c>
      <c r="B1163" s="1" t="n">
        <v>44379.49144675926</v>
      </c>
      <c r="C1163" s="1" t="n">
        <v>46011</v>
      </c>
      <c r="D1163" t="inlineStr">
        <is>
          <t>VÄSTRA GÖTALANDS LÄN</t>
        </is>
      </c>
      <c r="E1163" t="inlineStr">
        <is>
          <t>GULLSPÅNG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14819-2021</t>
        </is>
      </c>
      <c r="B1164" s="1" t="n">
        <v>44280</v>
      </c>
      <c r="C1164" s="1" t="n">
        <v>46011</v>
      </c>
      <c r="D1164" t="inlineStr">
        <is>
          <t>VÄSTRA GÖTALANDS LÄN</t>
        </is>
      </c>
      <c r="E1164" t="inlineStr">
        <is>
          <t>TROLLHÄTTAN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25782-2021</t>
        </is>
      </c>
      <c r="B1165" s="1" t="n">
        <v>44343.74252314815</v>
      </c>
      <c r="C1165" s="1" t="n">
        <v>46011</v>
      </c>
      <c r="D1165" t="inlineStr">
        <is>
          <t>VÄSTRA GÖTALANDS LÄN</t>
        </is>
      </c>
      <c r="E1165" t="inlineStr">
        <is>
          <t>KARLSBORG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45223-2021</t>
        </is>
      </c>
      <c r="B1166" s="1" t="n">
        <v>44439</v>
      </c>
      <c r="C1166" s="1" t="n">
        <v>46011</v>
      </c>
      <c r="D1166" t="inlineStr">
        <is>
          <t>VÄSTRA GÖTALANDS LÄN</t>
        </is>
      </c>
      <c r="E1166" t="inlineStr">
        <is>
          <t>STRÖMSTAD</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45247-2021</t>
        </is>
      </c>
      <c r="B1167" s="1" t="n">
        <v>44439</v>
      </c>
      <c r="C1167" s="1" t="n">
        <v>46011</v>
      </c>
      <c r="D1167" t="inlineStr">
        <is>
          <t>VÄSTRA GÖTALANDS LÄN</t>
        </is>
      </c>
      <c r="E1167" t="inlineStr">
        <is>
          <t>BORÅS</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6979-2021</t>
        </is>
      </c>
      <c r="B1168" s="1" t="n">
        <v>44237</v>
      </c>
      <c r="C1168" s="1" t="n">
        <v>46011</v>
      </c>
      <c r="D1168" t="inlineStr">
        <is>
          <t>VÄSTRA GÖTALANDS LÄN</t>
        </is>
      </c>
      <c r="E1168" t="inlineStr">
        <is>
          <t>BENGTSFORS</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7459-2021</t>
        </is>
      </c>
      <c r="B1169" s="1" t="n">
        <v>44239</v>
      </c>
      <c r="C1169" s="1" t="n">
        <v>46011</v>
      </c>
      <c r="D1169" t="inlineStr">
        <is>
          <t>VÄSTRA GÖTALANDS LÄN</t>
        </is>
      </c>
      <c r="E1169" t="inlineStr">
        <is>
          <t>UDDEVALLA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16222-2022</t>
        </is>
      </c>
      <c r="B1170" s="1" t="n">
        <v>44670</v>
      </c>
      <c r="C1170" s="1" t="n">
        <v>46011</v>
      </c>
      <c r="D1170" t="inlineStr">
        <is>
          <t>VÄSTRA GÖTALANDS LÄN</t>
        </is>
      </c>
      <c r="E1170" t="inlineStr">
        <is>
          <t>TRANEMO</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6529-2022</t>
        </is>
      </c>
      <c r="B1171" s="1" t="n">
        <v>44601</v>
      </c>
      <c r="C1171" s="1" t="n">
        <v>46011</v>
      </c>
      <c r="D1171" t="inlineStr">
        <is>
          <t>VÄSTRA GÖTALANDS LÄN</t>
        </is>
      </c>
      <c r="E1171" t="inlineStr">
        <is>
          <t>TANUM</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1732-2022</t>
        </is>
      </c>
      <c r="B1172" s="1" t="n">
        <v>44574</v>
      </c>
      <c r="C1172" s="1" t="n">
        <v>46011</v>
      </c>
      <c r="D1172" t="inlineStr">
        <is>
          <t>VÄSTRA GÖTALANDS LÄN</t>
        </is>
      </c>
      <c r="E1172" t="inlineStr">
        <is>
          <t>TRANEMO</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61593-2021</t>
        </is>
      </c>
      <c r="B1173" s="1" t="n">
        <v>44501.46244212963</v>
      </c>
      <c r="C1173" s="1" t="n">
        <v>46011</v>
      </c>
      <c r="D1173" t="inlineStr">
        <is>
          <t>VÄSTRA GÖTALANDS LÄN</t>
        </is>
      </c>
      <c r="E1173" t="inlineStr">
        <is>
          <t>ESSUNGA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25495-2022</t>
        </is>
      </c>
      <c r="B1174" s="1" t="n">
        <v>44732.56648148148</v>
      </c>
      <c r="C1174" s="1" t="n">
        <v>46011</v>
      </c>
      <c r="D1174" t="inlineStr">
        <is>
          <t>VÄSTRA GÖTALANDS LÄN</t>
        </is>
      </c>
      <c r="E1174" t="inlineStr">
        <is>
          <t>MELLERUD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9064-2022</t>
        </is>
      </c>
      <c r="B1175" s="1" t="n">
        <v>44615</v>
      </c>
      <c r="C1175" s="1" t="n">
        <v>46011</v>
      </c>
      <c r="D1175" t="inlineStr">
        <is>
          <t>VÄSTRA GÖTALANDS LÄN</t>
        </is>
      </c>
      <c r="E1175" t="inlineStr">
        <is>
          <t>TIDAHOLM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627-2022</t>
        </is>
      </c>
      <c r="B1176" s="1" t="n">
        <v>44568.35050925926</v>
      </c>
      <c r="C1176" s="1" t="n">
        <v>46011</v>
      </c>
      <c r="D1176" t="inlineStr">
        <is>
          <t>VÄSTRA GÖTALANDS LÄN</t>
        </is>
      </c>
      <c r="E1176" t="inlineStr">
        <is>
          <t>VÅRGÅRDA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628-2022</t>
        </is>
      </c>
      <c r="B1177" s="1" t="n">
        <v>44568.35122685185</v>
      </c>
      <c r="C1177" s="1" t="n">
        <v>46011</v>
      </c>
      <c r="D1177" t="inlineStr">
        <is>
          <t>VÄSTRA GÖTALANDS LÄN</t>
        </is>
      </c>
      <c r="E1177" t="inlineStr">
        <is>
          <t>VÅRGÅRDA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23974-2021</t>
        </is>
      </c>
      <c r="B1178" s="1" t="n">
        <v>44335</v>
      </c>
      <c r="C1178" s="1" t="n">
        <v>46011</v>
      </c>
      <c r="D1178" t="inlineStr">
        <is>
          <t>VÄSTRA GÖTALANDS LÄN</t>
        </is>
      </c>
      <c r="E1178" t="inlineStr">
        <is>
          <t>MELLERUD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33315-2021</t>
        </is>
      </c>
      <c r="B1179" s="1" t="n">
        <v>44377</v>
      </c>
      <c r="C1179" s="1" t="n">
        <v>46011</v>
      </c>
      <c r="D1179" t="inlineStr">
        <is>
          <t>VÄSTRA GÖTALANDS LÄN</t>
        </is>
      </c>
      <c r="E1179" t="inlineStr">
        <is>
          <t>TANUM</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53200-2021</t>
        </is>
      </c>
      <c r="B1180" s="1" t="n">
        <v>44468</v>
      </c>
      <c r="C1180" s="1" t="n">
        <v>46011</v>
      </c>
      <c r="D1180" t="inlineStr">
        <is>
          <t>VÄSTRA GÖTALANDS LÄN</t>
        </is>
      </c>
      <c r="E1180" t="inlineStr">
        <is>
          <t>HÄRRYDA</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59021-2021</t>
        </is>
      </c>
      <c r="B1181" s="1" t="n">
        <v>44490</v>
      </c>
      <c r="C1181" s="1" t="n">
        <v>46011</v>
      </c>
      <c r="D1181" t="inlineStr">
        <is>
          <t>VÄSTRA GÖTALANDS LÄN</t>
        </is>
      </c>
      <c r="E1181" t="inlineStr">
        <is>
          <t>FÄRGELANDA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50249-2021</t>
        </is>
      </c>
      <c r="B1182" s="1" t="n">
        <v>44458</v>
      </c>
      <c r="C1182" s="1" t="n">
        <v>46011</v>
      </c>
      <c r="D1182" t="inlineStr">
        <is>
          <t>VÄSTRA GÖTALANDS LÄN</t>
        </is>
      </c>
      <c r="E1182" t="inlineStr">
        <is>
          <t>TÖREBODA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8407-2021</t>
        </is>
      </c>
      <c r="B1183" s="1" t="n">
        <v>44245</v>
      </c>
      <c r="C1183" s="1" t="n">
        <v>46011</v>
      </c>
      <c r="D1183" t="inlineStr">
        <is>
          <t>VÄSTRA GÖTALANDS LÄN</t>
        </is>
      </c>
      <c r="E1183" t="inlineStr">
        <is>
          <t>BENGTSFORS</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8421-2021</t>
        </is>
      </c>
      <c r="B1184" s="1" t="n">
        <v>44245.443125</v>
      </c>
      <c r="C1184" s="1" t="n">
        <v>46011</v>
      </c>
      <c r="D1184" t="inlineStr">
        <is>
          <t>VÄSTRA GÖTALANDS LÄN</t>
        </is>
      </c>
      <c r="E1184" t="inlineStr">
        <is>
          <t>GÖTENE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33912-2022</t>
        </is>
      </c>
      <c r="B1185" s="1" t="n">
        <v>44790.63319444445</v>
      </c>
      <c r="C1185" s="1" t="n">
        <v>46011</v>
      </c>
      <c r="D1185" t="inlineStr">
        <is>
          <t>VÄSTRA GÖTALANDS LÄN</t>
        </is>
      </c>
      <c r="E1185" t="inlineStr">
        <is>
          <t>FÄRGELANDA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33950-2022</t>
        </is>
      </c>
      <c r="B1186" s="1" t="n">
        <v>44790</v>
      </c>
      <c r="C1186" s="1" t="n">
        <v>46011</v>
      </c>
      <c r="D1186" t="inlineStr">
        <is>
          <t>VÄSTRA GÖTALANDS LÄN</t>
        </is>
      </c>
      <c r="E1186" t="inlineStr">
        <is>
          <t>BENGTSFORS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24867-2021</t>
        </is>
      </c>
      <c r="B1187" s="1" t="n">
        <v>44341</v>
      </c>
      <c r="C1187" s="1" t="n">
        <v>46011</v>
      </c>
      <c r="D1187" t="inlineStr">
        <is>
          <t>VÄSTRA GÖTALANDS LÄN</t>
        </is>
      </c>
      <c r="E1187" t="inlineStr">
        <is>
          <t>ESSUNGA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1430-2022</t>
        </is>
      </c>
      <c r="B1188" s="1" t="n">
        <v>44573</v>
      </c>
      <c r="C1188" s="1" t="n">
        <v>46011</v>
      </c>
      <c r="D1188" t="inlineStr">
        <is>
          <t>VÄSTRA GÖTALANDS LÄN</t>
        </is>
      </c>
      <c r="E1188" t="inlineStr">
        <is>
          <t>TANUM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1441-2022</t>
        </is>
      </c>
      <c r="B1189" s="1" t="n">
        <v>44573.46288194445</v>
      </c>
      <c r="C1189" s="1" t="n">
        <v>46011</v>
      </c>
      <c r="D1189" t="inlineStr">
        <is>
          <t>VÄSTRA GÖTALANDS LÄN</t>
        </is>
      </c>
      <c r="E1189" t="inlineStr">
        <is>
          <t>TANUM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36495-2021</t>
        </is>
      </c>
      <c r="B1190" s="1" t="n">
        <v>44390</v>
      </c>
      <c r="C1190" s="1" t="n">
        <v>46011</v>
      </c>
      <c r="D1190" t="inlineStr">
        <is>
          <t>VÄSTRA GÖTALANDS LÄN</t>
        </is>
      </c>
      <c r="E1190" t="inlineStr">
        <is>
          <t>TÖREBODA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149-2022</t>
        </is>
      </c>
      <c r="B1191" s="1" t="n">
        <v>44564.59123842593</v>
      </c>
      <c r="C1191" s="1" t="n">
        <v>46011</v>
      </c>
      <c r="D1191" t="inlineStr">
        <is>
          <t>VÄSTRA GÖTALANDS LÄN</t>
        </is>
      </c>
      <c r="E1191" t="inlineStr">
        <is>
          <t>TRANEMO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74474-2021</t>
        </is>
      </c>
      <c r="B1192" s="1" t="n">
        <v>44560</v>
      </c>
      <c r="C1192" s="1" t="n">
        <v>46011</v>
      </c>
      <c r="D1192" t="inlineStr">
        <is>
          <t>VÄSTRA GÖTALANDS LÄN</t>
        </is>
      </c>
      <c r="E1192" t="inlineStr">
        <is>
          <t>FALKÖPING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46432-2021</t>
        </is>
      </c>
      <c r="B1193" s="1" t="n">
        <v>44445.32841435185</v>
      </c>
      <c r="C1193" s="1" t="n">
        <v>46011</v>
      </c>
      <c r="D1193" t="inlineStr">
        <is>
          <t>VÄSTRA GÖTALANDS LÄN</t>
        </is>
      </c>
      <c r="E1193" t="inlineStr">
        <is>
          <t>VÅRGÅRDA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28240-2021</t>
        </is>
      </c>
      <c r="B1194" s="1" t="n">
        <v>44355</v>
      </c>
      <c r="C1194" s="1" t="n">
        <v>46011</v>
      </c>
      <c r="D1194" t="inlineStr">
        <is>
          <t>VÄSTRA GÖTALANDS LÄN</t>
        </is>
      </c>
      <c r="E1194" t="inlineStr">
        <is>
          <t>GÖTENE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28251-2021</t>
        </is>
      </c>
      <c r="B1195" s="1" t="n">
        <v>44355</v>
      </c>
      <c r="C1195" s="1" t="n">
        <v>46011</v>
      </c>
      <c r="D1195" t="inlineStr">
        <is>
          <t>VÄSTRA GÖTALANDS LÄN</t>
        </is>
      </c>
      <c r="E1195" t="inlineStr">
        <is>
          <t>ALINGSÅS</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50817-2021</t>
        </is>
      </c>
      <c r="B1196" s="1" t="n">
        <v>44460.49046296296</v>
      </c>
      <c r="C1196" s="1" t="n">
        <v>46011</v>
      </c>
      <c r="D1196" t="inlineStr">
        <is>
          <t>VÄSTRA GÖTALANDS LÄN</t>
        </is>
      </c>
      <c r="E1196" t="inlineStr">
        <is>
          <t>MARIESTAD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58025-2021</t>
        </is>
      </c>
      <c r="B1197" s="1" t="n">
        <v>44487</v>
      </c>
      <c r="C1197" s="1" t="n">
        <v>46011</v>
      </c>
      <c r="D1197" t="inlineStr">
        <is>
          <t>VÄSTRA GÖTALANDS LÄN</t>
        </is>
      </c>
      <c r="E1197" t="inlineStr">
        <is>
          <t>LERUM</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25855-2022</t>
        </is>
      </c>
      <c r="B1198" s="1" t="n">
        <v>44733.62166666667</v>
      </c>
      <c r="C1198" s="1" t="n">
        <v>46011</v>
      </c>
      <c r="D1198" t="inlineStr">
        <is>
          <t>VÄSTRA GÖTALANDS LÄN</t>
        </is>
      </c>
      <c r="E1198" t="inlineStr">
        <is>
          <t>TÖREBODA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26865-2022</t>
        </is>
      </c>
      <c r="B1199" s="1" t="n">
        <v>44740.52371527778</v>
      </c>
      <c r="C1199" s="1" t="n">
        <v>46011</v>
      </c>
      <c r="D1199" t="inlineStr">
        <is>
          <t>VÄSTRA GÖTALANDS LÄN</t>
        </is>
      </c>
      <c r="E1199" t="inlineStr">
        <is>
          <t>TÖREBODA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19455-2021</t>
        </is>
      </c>
      <c r="B1200" s="1" t="n">
        <v>44311.54153935185</v>
      </c>
      <c r="C1200" s="1" t="n">
        <v>46011</v>
      </c>
      <c r="D1200" t="inlineStr">
        <is>
          <t>VÄSTRA GÖTALANDS LÄN</t>
        </is>
      </c>
      <c r="E1200" t="inlineStr">
        <is>
          <t>GRÄSTORP</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29256-2022</t>
        </is>
      </c>
      <c r="B1201" s="1" t="n">
        <v>44750</v>
      </c>
      <c r="C1201" s="1" t="n">
        <v>46011</v>
      </c>
      <c r="D1201" t="inlineStr">
        <is>
          <t>VÄSTRA GÖTALANDS LÄN</t>
        </is>
      </c>
      <c r="E1201" t="inlineStr">
        <is>
          <t>MARK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19498-2021</t>
        </is>
      </c>
      <c r="B1202" s="1" t="n">
        <v>44312.35069444445</v>
      </c>
      <c r="C1202" s="1" t="n">
        <v>46011</v>
      </c>
      <c r="D1202" t="inlineStr">
        <is>
          <t>VÄSTRA GÖTALANDS LÄN</t>
        </is>
      </c>
      <c r="E1202" t="inlineStr">
        <is>
          <t>FÄRGELANDA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58405-2021</t>
        </is>
      </c>
      <c r="B1203" s="1" t="n">
        <v>44488</v>
      </c>
      <c r="C1203" s="1" t="n">
        <v>46011</v>
      </c>
      <c r="D1203" t="inlineStr">
        <is>
          <t>VÄSTRA GÖTALANDS LÄN</t>
        </is>
      </c>
      <c r="E1203" t="inlineStr">
        <is>
          <t>BORÅS</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53973-2021</t>
        </is>
      </c>
      <c r="B1204" s="1" t="n">
        <v>44470</v>
      </c>
      <c r="C1204" s="1" t="n">
        <v>46011</v>
      </c>
      <c r="D1204" t="inlineStr">
        <is>
          <t>VÄSTRA GÖTALANDS LÄN</t>
        </is>
      </c>
      <c r="E1204" t="inlineStr">
        <is>
          <t>FALKÖPING</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53975-2021</t>
        </is>
      </c>
      <c r="B1205" s="1" t="n">
        <v>44470.30924768518</v>
      </c>
      <c r="C1205" s="1" t="n">
        <v>46011</v>
      </c>
      <c r="D1205" t="inlineStr">
        <is>
          <t>VÄSTRA GÖTALANDS LÄN</t>
        </is>
      </c>
      <c r="E1205" t="inlineStr">
        <is>
          <t>FALKÖPING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19355-2021</t>
        </is>
      </c>
      <c r="B1206" s="1" t="n">
        <v>44309</v>
      </c>
      <c r="C1206" s="1" t="n">
        <v>46011</v>
      </c>
      <c r="D1206" t="inlineStr">
        <is>
          <t>VÄSTRA GÖTALANDS LÄN</t>
        </is>
      </c>
      <c r="E1206" t="inlineStr">
        <is>
          <t>TROLLHÄTTAN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19132-2022</t>
        </is>
      </c>
      <c r="B1207" s="1" t="n">
        <v>44691</v>
      </c>
      <c r="C1207" s="1" t="n">
        <v>46011</v>
      </c>
      <c r="D1207" t="inlineStr">
        <is>
          <t>VÄSTRA GÖTALANDS LÄN</t>
        </is>
      </c>
      <c r="E1207" t="inlineStr">
        <is>
          <t>KUNGÄLV</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19133-2022</t>
        </is>
      </c>
      <c r="B1208" s="1" t="n">
        <v>44691</v>
      </c>
      <c r="C1208" s="1" t="n">
        <v>46011</v>
      </c>
      <c r="D1208" t="inlineStr">
        <is>
          <t>VÄSTRA GÖTALANDS LÄN</t>
        </is>
      </c>
      <c r="E1208" t="inlineStr">
        <is>
          <t>KUNGÄLV</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51196-2021</t>
        </is>
      </c>
      <c r="B1209" s="1" t="n">
        <v>44460</v>
      </c>
      <c r="C1209" s="1" t="n">
        <v>46011</v>
      </c>
      <c r="D1209" t="inlineStr">
        <is>
          <t>VÄSTRA GÖTALANDS LÄN</t>
        </is>
      </c>
      <c r="E1209" t="inlineStr">
        <is>
          <t>GULLSPÅNG</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51255-2021</t>
        </is>
      </c>
      <c r="B1210" s="1" t="n">
        <v>44461</v>
      </c>
      <c r="C1210" s="1" t="n">
        <v>46011</v>
      </c>
      <c r="D1210" t="inlineStr">
        <is>
          <t>VÄSTRA GÖTALANDS LÄN</t>
        </is>
      </c>
      <c r="E1210" t="inlineStr">
        <is>
          <t>TRANEMO</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37412-2021</t>
        </is>
      </c>
      <c r="B1211" s="1" t="n">
        <v>44398</v>
      </c>
      <c r="C1211" s="1" t="n">
        <v>46011</v>
      </c>
      <c r="D1211" t="inlineStr">
        <is>
          <t>VÄSTRA GÖTALANDS LÄN</t>
        </is>
      </c>
      <c r="E1211" t="inlineStr">
        <is>
          <t>ESSUNGA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30789-2022</t>
        </is>
      </c>
      <c r="B1212" s="1" t="n">
        <v>44764</v>
      </c>
      <c r="C1212" s="1" t="n">
        <v>46011</v>
      </c>
      <c r="D1212" t="inlineStr">
        <is>
          <t>VÄSTRA GÖTALANDS LÄN</t>
        </is>
      </c>
      <c r="E1212" t="inlineStr">
        <is>
          <t>MARK</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24424-2022</t>
        </is>
      </c>
      <c r="B1213" s="1" t="n">
        <v>44726</v>
      </c>
      <c r="C1213" s="1" t="n">
        <v>46011</v>
      </c>
      <c r="D1213" t="inlineStr">
        <is>
          <t>VÄSTRA GÖTALANDS LÄN</t>
        </is>
      </c>
      <c r="E1213" t="inlineStr">
        <is>
          <t>TRANEMO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4301-2022</t>
        </is>
      </c>
      <c r="B1214" s="1" t="n">
        <v>44588</v>
      </c>
      <c r="C1214" s="1" t="n">
        <v>46011</v>
      </c>
      <c r="D1214" t="inlineStr">
        <is>
          <t>VÄSTRA GÖTALANDS LÄN</t>
        </is>
      </c>
      <c r="E1214" t="inlineStr">
        <is>
          <t>SVENLJUNGA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9008-2022</t>
        </is>
      </c>
      <c r="B1215" s="1" t="n">
        <v>44615.35890046296</v>
      </c>
      <c r="C1215" s="1" t="n">
        <v>46011</v>
      </c>
      <c r="D1215" t="inlineStr">
        <is>
          <t>VÄSTRA GÖTALANDS LÄN</t>
        </is>
      </c>
      <c r="E1215" t="inlineStr">
        <is>
          <t>MELLERUD</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9009-2022</t>
        </is>
      </c>
      <c r="B1216" s="1" t="n">
        <v>44615</v>
      </c>
      <c r="C1216" s="1" t="n">
        <v>46011</v>
      </c>
      <c r="D1216" t="inlineStr">
        <is>
          <t>VÄSTRA GÖTALANDS LÄN</t>
        </is>
      </c>
      <c r="E1216" t="inlineStr">
        <is>
          <t>TIDAHOLM</t>
        </is>
      </c>
      <c r="F1216" t="inlineStr">
        <is>
          <t>Kyrkan</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66369-2021</t>
        </is>
      </c>
      <c r="B1217" s="1" t="n">
        <v>44518</v>
      </c>
      <c r="C1217" s="1" t="n">
        <v>46011</v>
      </c>
      <c r="D1217" t="inlineStr">
        <is>
          <t>VÄSTRA GÖTALANDS LÄN</t>
        </is>
      </c>
      <c r="E1217" t="inlineStr">
        <is>
          <t>MARK</t>
        </is>
      </c>
      <c r="F1217" t="inlineStr">
        <is>
          <t>Kyrkan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74304-2021</t>
        </is>
      </c>
      <c r="B1218" s="1" t="n">
        <v>44559.36643518518</v>
      </c>
      <c r="C1218" s="1" t="n">
        <v>46011</v>
      </c>
      <c r="D1218" t="inlineStr">
        <is>
          <t>VÄSTRA GÖTALANDS LÄN</t>
        </is>
      </c>
      <c r="E1218" t="inlineStr">
        <is>
          <t>FALKÖPING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57615-2021</t>
        </is>
      </c>
      <c r="B1219" s="1" t="n">
        <v>44484</v>
      </c>
      <c r="C1219" s="1" t="n">
        <v>46011</v>
      </c>
      <c r="D1219" t="inlineStr">
        <is>
          <t>VÄSTRA GÖTALANDS LÄN</t>
        </is>
      </c>
      <c r="E1219" t="inlineStr">
        <is>
          <t>FÄRGELANDA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48592-2021</t>
        </is>
      </c>
      <c r="B1220" s="1" t="n">
        <v>44452</v>
      </c>
      <c r="C1220" s="1" t="n">
        <v>46011</v>
      </c>
      <c r="D1220" t="inlineStr">
        <is>
          <t>VÄSTRA GÖTALANDS LÄN</t>
        </is>
      </c>
      <c r="E1220" t="inlineStr">
        <is>
          <t>FÄRGELANDA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46431-2022</t>
        </is>
      </c>
      <c r="B1221" s="1" t="n">
        <v>44846</v>
      </c>
      <c r="C1221" s="1" t="n">
        <v>46011</v>
      </c>
      <c r="D1221" t="inlineStr">
        <is>
          <t>VÄSTRA GÖTALANDS LÄN</t>
        </is>
      </c>
      <c r="E1221" t="inlineStr">
        <is>
          <t>GULLSPÅNG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48713-2021</t>
        </is>
      </c>
      <c r="B1222" s="1" t="n">
        <v>44452</v>
      </c>
      <c r="C1222" s="1" t="n">
        <v>46011</v>
      </c>
      <c r="D1222" t="inlineStr">
        <is>
          <t>VÄSTRA GÖTALANDS LÄN</t>
        </is>
      </c>
      <c r="E1222" t="inlineStr">
        <is>
          <t>TANUM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54195-2021</t>
        </is>
      </c>
      <c r="B1223" s="1" t="n">
        <v>44470</v>
      </c>
      <c r="C1223" s="1" t="n">
        <v>46011</v>
      </c>
      <c r="D1223" t="inlineStr">
        <is>
          <t>VÄSTRA GÖTALANDS LÄN</t>
        </is>
      </c>
      <c r="E1223" t="inlineStr">
        <is>
          <t>TANUM</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13342-2022</t>
        </is>
      </c>
      <c r="B1224" s="1" t="n">
        <v>44645</v>
      </c>
      <c r="C1224" s="1" t="n">
        <v>46011</v>
      </c>
      <c r="D1224" t="inlineStr">
        <is>
          <t>VÄSTRA GÖTALANDS LÄN</t>
        </is>
      </c>
      <c r="E1224" t="inlineStr">
        <is>
          <t>GÖTENE</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19807-2021</t>
        </is>
      </c>
      <c r="B1225" s="1" t="n">
        <v>44313</v>
      </c>
      <c r="C1225" s="1" t="n">
        <v>46011</v>
      </c>
      <c r="D1225" t="inlineStr">
        <is>
          <t>VÄSTRA GÖTALANDS LÄN</t>
        </is>
      </c>
      <c r="E1225" t="inlineStr">
        <is>
          <t>BORÅS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23630-2022</t>
        </is>
      </c>
      <c r="B1226" s="1" t="n">
        <v>44721</v>
      </c>
      <c r="C1226" s="1" t="n">
        <v>46011</v>
      </c>
      <c r="D1226" t="inlineStr">
        <is>
          <t>VÄSTRA GÖTALANDS LÄN</t>
        </is>
      </c>
      <c r="E1226" t="inlineStr">
        <is>
          <t>BORÅS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61486-2021</t>
        </is>
      </c>
      <c r="B1227" s="1" t="n">
        <v>44501</v>
      </c>
      <c r="C1227" s="1" t="n">
        <v>46011</v>
      </c>
      <c r="D1227" t="inlineStr">
        <is>
          <t>VÄSTRA GÖTALANDS LÄN</t>
        </is>
      </c>
      <c r="E1227" t="inlineStr">
        <is>
          <t>MARK</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54221-2022</t>
        </is>
      </c>
      <c r="B1228" s="1" t="n">
        <v>44881</v>
      </c>
      <c r="C1228" s="1" t="n">
        <v>46011</v>
      </c>
      <c r="D1228" t="inlineStr">
        <is>
          <t>VÄSTRA GÖTALANDS LÄN</t>
        </is>
      </c>
      <c r="E1228" t="inlineStr">
        <is>
          <t>VÄNERSBORG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12313-2022</t>
        </is>
      </c>
      <c r="B1229" s="1" t="n">
        <v>44637.59607638889</v>
      </c>
      <c r="C1229" s="1" t="n">
        <v>46011</v>
      </c>
      <c r="D1229" t="inlineStr">
        <is>
          <t>VÄSTRA GÖTALANDS LÄN</t>
        </is>
      </c>
      <c r="E1229" t="inlineStr">
        <is>
          <t>ALINGSÅS</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19622-2021</t>
        </is>
      </c>
      <c r="B1230" s="1" t="n">
        <v>44312.60563657407</v>
      </c>
      <c r="C1230" s="1" t="n">
        <v>46011</v>
      </c>
      <c r="D1230" t="inlineStr">
        <is>
          <t>VÄSTRA GÖTALANDS LÄN</t>
        </is>
      </c>
      <c r="E1230" t="inlineStr">
        <is>
          <t>TROLLHÄTTAN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42622-2021</t>
        </is>
      </c>
      <c r="B1231" s="1" t="n">
        <v>44428</v>
      </c>
      <c r="C1231" s="1" t="n">
        <v>46011</v>
      </c>
      <c r="D1231" t="inlineStr">
        <is>
          <t>VÄSTRA GÖTALANDS LÄN</t>
        </is>
      </c>
      <c r="E1231" t="inlineStr">
        <is>
          <t>MELLERUD</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39542-2022</t>
        </is>
      </c>
      <c r="B1232" s="1" t="n">
        <v>44818</v>
      </c>
      <c r="C1232" s="1" t="n">
        <v>46011</v>
      </c>
      <c r="D1232" t="inlineStr">
        <is>
          <t>VÄSTRA GÖTALANDS LÄN</t>
        </is>
      </c>
      <c r="E1232" t="inlineStr">
        <is>
          <t>TÖREBODA</t>
        </is>
      </c>
      <c r="F1232" t="inlineStr">
        <is>
          <t>Kommuner</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22770-2021</t>
        </is>
      </c>
      <c r="B1233" s="1" t="n">
        <v>44327</v>
      </c>
      <c r="C1233" s="1" t="n">
        <v>46011</v>
      </c>
      <c r="D1233" t="inlineStr">
        <is>
          <t>VÄSTRA GÖTALANDS LÄN</t>
        </is>
      </c>
      <c r="E1233" t="inlineStr">
        <is>
          <t>TANUM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21318-2021</t>
        </is>
      </c>
      <c r="B1234" s="1" t="n">
        <v>44320</v>
      </c>
      <c r="C1234" s="1" t="n">
        <v>46011</v>
      </c>
      <c r="D1234" t="inlineStr">
        <is>
          <t>VÄSTRA GÖTALANDS LÄN</t>
        </is>
      </c>
      <c r="E1234" t="inlineStr">
        <is>
          <t>STENUNGSUND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28064-2021</t>
        </is>
      </c>
      <c r="B1235" s="1" t="n">
        <v>44355.41885416667</v>
      </c>
      <c r="C1235" s="1" t="n">
        <v>46011</v>
      </c>
      <c r="D1235" t="inlineStr">
        <is>
          <t>VÄSTRA GÖTALANDS LÄN</t>
        </is>
      </c>
      <c r="E1235" t="inlineStr">
        <is>
          <t>BORÅS</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8686-2022</t>
        </is>
      </c>
      <c r="B1236" s="1" t="n">
        <v>44613.69466435185</v>
      </c>
      <c r="C1236" s="1" t="n">
        <v>46011</v>
      </c>
      <c r="D1236" t="inlineStr">
        <is>
          <t>VÄSTRA GÖTALANDS LÄN</t>
        </is>
      </c>
      <c r="E1236" t="inlineStr">
        <is>
          <t>TRANEMO</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32946-2021</t>
        </is>
      </c>
      <c r="B1237" s="1" t="n">
        <v>44376</v>
      </c>
      <c r="C1237" s="1" t="n">
        <v>46011</v>
      </c>
      <c r="D1237" t="inlineStr">
        <is>
          <t>VÄSTRA GÖTALANDS LÄN</t>
        </is>
      </c>
      <c r="E1237" t="inlineStr">
        <is>
          <t>SVENLJUNGA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16179-2021</t>
        </is>
      </c>
      <c r="B1238" s="1" t="n">
        <v>44292.42471064815</v>
      </c>
      <c r="C1238" s="1" t="n">
        <v>46011</v>
      </c>
      <c r="D1238" t="inlineStr">
        <is>
          <t>VÄSTRA GÖTALANDS LÄN</t>
        </is>
      </c>
      <c r="E1238" t="inlineStr">
        <is>
          <t>KARLSBORG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12219-2021</t>
        </is>
      </c>
      <c r="B1239" s="1" t="n">
        <v>44266.66760416667</v>
      </c>
      <c r="C1239" s="1" t="n">
        <v>46011</v>
      </c>
      <c r="D1239" t="inlineStr">
        <is>
          <t>VÄSTRA GÖTALANDS LÄN</t>
        </is>
      </c>
      <c r="E1239" t="inlineStr">
        <is>
          <t>KARLSBORG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32627-2022</t>
        </is>
      </c>
      <c r="B1240" s="1" t="n">
        <v>44783</v>
      </c>
      <c r="C1240" s="1" t="n">
        <v>46011</v>
      </c>
      <c r="D1240" t="inlineStr">
        <is>
          <t>VÄSTRA GÖTALANDS LÄN</t>
        </is>
      </c>
      <c r="E1240" t="inlineStr">
        <is>
          <t>MELLERUD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46017-2021</t>
        </is>
      </c>
      <c r="B1241" s="1" t="n">
        <v>44441.90895833333</v>
      </c>
      <c r="C1241" s="1" t="n">
        <v>46011</v>
      </c>
      <c r="D1241" t="inlineStr">
        <is>
          <t>VÄSTRA GÖTALANDS LÄN</t>
        </is>
      </c>
      <c r="E1241" t="inlineStr">
        <is>
          <t>MARK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25943-2022</t>
        </is>
      </c>
      <c r="B1242" s="1" t="n">
        <v>44734</v>
      </c>
      <c r="C1242" s="1" t="n">
        <v>46011</v>
      </c>
      <c r="D1242" t="inlineStr">
        <is>
          <t>VÄSTRA GÖTALANDS LÄN</t>
        </is>
      </c>
      <c r="E1242" t="inlineStr">
        <is>
          <t>TIBRO</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896-2021</t>
        </is>
      </c>
      <c r="B1243" s="1" t="n">
        <v>44206.78572916667</v>
      </c>
      <c r="C1243" s="1" t="n">
        <v>46011</v>
      </c>
      <c r="D1243" t="inlineStr">
        <is>
          <t>VÄSTRA GÖTALANDS LÄN</t>
        </is>
      </c>
      <c r="E1243" t="inlineStr">
        <is>
          <t>MARK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21780-2022</t>
        </is>
      </c>
      <c r="B1244" s="1" t="n">
        <v>44708</v>
      </c>
      <c r="C1244" s="1" t="n">
        <v>46011</v>
      </c>
      <c r="D1244" t="inlineStr">
        <is>
          <t>VÄSTRA GÖTALANDS LÄN</t>
        </is>
      </c>
      <c r="E1244" t="inlineStr">
        <is>
          <t>HÄRRYDA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46212-2021</t>
        </is>
      </c>
      <c r="B1245" s="1" t="n">
        <v>44442.48902777778</v>
      </c>
      <c r="C1245" s="1" t="n">
        <v>46011</v>
      </c>
      <c r="D1245" t="inlineStr">
        <is>
          <t>VÄSTRA GÖTALANDS LÄN</t>
        </is>
      </c>
      <c r="E1245" t="inlineStr">
        <is>
          <t>ULRICEHAMN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30197-2022</t>
        </is>
      </c>
      <c r="B1246" s="1" t="n">
        <v>44757.64813657408</v>
      </c>
      <c r="C1246" s="1" t="n">
        <v>46011</v>
      </c>
      <c r="D1246" t="inlineStr">
        <is>
          <t>VÄSTRA GÖTALANDS LÄN</t>
        </is>
      </c>
      <c r="E1246" t="inlineStr">
        <is>
          <t>LERUM</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21732-2022</t>
        </is>
      </c>
      <c r="B1247" s="1" t="n">
        <v>44708.34130787037</v>
      </c>
      <c r="C1247" s="1" t="n">
        <v>46011</v>
      </c>
      <c r="D1247" t="inlineStr">
        <is>
          <t>VÄSTRA GÖTALANDS LÄN</t>
        </is>
      </c>
      <c r="E1247" t="inlineStr">
        <is>
          <t>ALINGSÅS</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39787-2021</t>
        </is>
      </c>
      <c r="B1248" s="1" t="n">
        <v>44417.56894675926</v>
      </c>
      <c r="C1248" s="1" t="n">
        <v>46011</v>
      </c>
      <c r="D1248" t="inlineStr">
        <is>
          <t>VÄSTRA GÖTALANDS LÄN</t>
        </is>
      </c>
      <c r="E1248" t="inlineStr">
        <is>
          <t>SKÖVDE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23800-2021</t>
        </is>
      </c>
      <c r="B1249" s="1" t="n">
        <v>44334</v>
      </c>
      <c r="C1249" s="1" t="n">
        <v>46011</v>
      </c>
      <c r="D1249" t="inlineStr">
        <is>
          <t>VÄSTRA GÖTALANDS LÄN</t>
        </is>
      </c>
      <c r="E1249" t="inlineStr">
        <is>
          <t>SKARA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23827-2021</t>
        </is>
      </c>
      <c r="B1250" s="1" t="n">
        <v>44335</v>
      </c>
      <c r="C1250" s="1" t="n">
        <v>46011</v>
      </c>
      <c r="D1250" t="inlineStr">
        <is>
          <t>VÄSTRA GÖTALANDS LÄN</t>
        </is>
      </c>
      <c r="E1250" t="inlineStr">
        <is>
          <t>ALINGSÅS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55509-2021</t>
        </is>
      </c>
      <c r="B1251" s="1" t="n">
        <v>44475</v>
      </c>
      <c r="C1251" s="1" t="n">
        <v>46011</v>
      </c>
      <c r="D1251" t="inlineStr">
        <is>
          <t>VÄSTRA GÖTALANDS LÄN</t>
        </is>
      </c>
      <c r="E1251" t="inlineStr">
        <is>
          <t>VARA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38037-2022</t>
        </is>
      </c>
      <c r="B1252" s="1" t="n">
        <v>44811.63681712963</v>
      </c>
      <c r="C1252" s="1" t="n">
        <v>46011</v>
      </c>
      <c r="D1252" t="inlineStr">
        <is>
          <t>VÄSTRA GÖTALANDS LÄN</t>
        </is>
      </c>
      <c r="E1252" t="inlineStr">
        <is>
          <t>ESSUNGA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42415-2022</t>
        </is>
      </c>
      <c r="B1253" s="1" t="n">
        <v>44831</v>
      </c>
      <c r="C1253" s="1" t="n">
        <v>46011</v>
      </c>
      <c r="D1253" t="inlineStr">
        <is>
          <t>VÄSTRA GÖTALANDS LÄN</t>
        </is>
      </c>
      <c r="E1253" t="inlineStr">
        <is>
          <t>MÖLNDAL</t>
        </is>
      </c>
      <c r="F1253" t="inlineStr">
        <is>
          <t>Kommuner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49567-2021</t>
        </is>
      </c>
      <c r="B1254" s="1" t="n">
        <v>44454</v>
      </c>
      <c r="C1254" s="1" t="n">
        <v>46011</v>
      </c>
      <c r="D1254" t="inlineStr">
        <is>
          <t>VÄSTRA GÖTALANDS LÄN</t>
        </is>
      </c>
      <c r="E1254" t="inlineStr">
        <is>
          <t>TÖREBODA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5961-2022</t>
        </is>
      </c>
      <c r="B1255" s="1" t="n">
        <v>44596</v>
      </c>
      <c r="C1255" s="1" t="n">
        <v>46011</v>
      </c>
      <c r="D1255" t="inlineStr">
        <is>
          <t>VÄSTRA GÖTALANDS LÄN</t>
        </is>
      </c>
      <c r="E1255" t="inlineStr">
        <is>
          <t>TANUM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24440-2022</t>
        </is>
      </c>
      <c r="B1256" s="1" t="n">
        <v>44726</v>
      </c>
      <c r="C1256" s="1" t="n">
        <v>46011</v>
      </c>
      <c r="D1256" t="inlineStr">
        <is>
          <t>VÄSTRA GÖTALANDS LÄN</t>
        </is>
      </c>
      <c r="E1256" t="inlineStr">
        <is>
          <t>TÖREBODA</t>
        </is>
      </c>
      <c r="G1256" t="n">
        <v>22.2</v>
      </c>
      <c r="H1256" t="n">
        <v>0</v>
      </c>
      <c r="I1256" t="n">
        <v>0</v>
      </c>
      <c r="J1256" t="n">
        <v>0</v>
      </c>
      <c r="K1256" t="n">
        <v>0</v>
      </c>
      <c r="L1256" t="n">
        <v>0</v>
      </c>
      <c r="M1256" t="n">
        <v>0</v>
      </c>
      <c r="N1256" t="n">
        <v>0</v>
      </c>
      <c r="O1256" t="n">
        <v>0</v>
      </c>
      <c r="P1256" t="n">
        <v>0</v>
      </c>
      <c r="Q1256" t="n">
        <v>0</v>
      </c>
      <c r="R1256" s="2" t="inlineStr"/>
    </row>
    <row r="1257" ht="15" customHeight="1">
      <c r="A1257" t="inlineStr">
        <is>
          <t>A 6624-2022</t>
        </is>
      </c>
      <c r="B1257" s="1" t="n">
        <v>44601</v>
      </c>
      <c r="C1257" s="1" t="n">
        <v>46011</v>
      </c>
      <c r="D1257" t="inlineStr">
        <is>
          <t>VÄSTRA GÖTALANDS LÄN</t>
        </is>
      </c>
      <c r="E1257" t="inlineStr">
        <is>
          <t>VÅRGÅRDA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27267-2021</t>
        </is>
      </c>
      <c r="B1258" s="1" t="n">
        <v>44351.26809027778</v>
      </c>
      <c r="C1258" s="1" t="n">
        <v>46011</v>
      </c>
      <c r="D1258" t="inlineStr">
        <is>
          <t>VÄSTRA GÖTALANDS LÄN</t>
        </is>
      </c>
      <c r="E1258" t="inlineStr">
        <is>
          <t>BORÅS</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24443-2022</t>
        </is>
      </c>
      <c r="B1259" s="1" t="n">
        <v>44726</v>
      </c>
      <c r="C1259" s="1" t="n">
        <v>46011</v>
      </c>
      <c r="D1259" t="inlineStr">
        <is>
          <t>VÄSTRA GÖTALANDS LÄN</t>
        </is>
      </c>
      <c r="E1259" t="inlineStr">
        <is>
          <t>ULRICEHAMN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63378-2021</t>
        </is>
      </c>
      <c r="B1260" s="1" t="n">
        <v>44508</v>
      </c>
      <c r="C1260" s="1" t="n">
        <v>46011</v>
      </c>
      <c r="D1260" t="inlineStr">
        <is>
          <t>VÄSTRA GÖTALANDS LÄN</t>
        </is>
      </c>
      <c r="E1260" t="inlineStr">
        <is>
          <t>TIDAHOLM</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29874-2022</t>
        </is>
      </c>
      <c r="B1261" s="1" t="n">
        <v>44756.43268518519</v>
      </c>
      <c r="C1261" s="1" t="n">
        <v>46011</v>
      </c>
      <c r="D1261" t="inlineStr">
        <is>
          <t>VÄSTRA GÖTALANDS LÄN</t>
        </is>
      </c>
      <c r="E1261" t="inlineStr">
        <is>
          <t>SKARA</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67165-2021</t>
        </is>
      </c>
      <c r="B1262" s="1" t="n">
        <v>44523</v>
      </c>
      <c r="C1262" s="1" t="n">
        <v>46011</v>
      </c>
      <c r="D1262" t="inlineStr">
        <is>
          <t>VÄSTRA GÖTALANDS LÄN</t>
        </is>
      </c>
      <c r="E1262" t="inlineStr">
        <is>
          <t>ALE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65481-2021</t>
        </is>
      </c>
      <c r="B1263" s="1" t="n">
        <v>44516.35253472222</v>
      </c>
      <c r="C1263" s="1" t="n">
        <v>46011</v>
      </c>
      <c r="D1263" t="inlineStr">
        <is>
          <t>VÄSTRA GÖTALANDS LÄN</t>
        </is>
      </c>
      <c r="E1263" t="inlineStr">
        <is>
          <t>FÄRGELANDA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59088-2021</t>
        </is>
      </c>
      <c r="B1264" s="1" t="n">
        <v>44490.41994212963</v>
      </c>
      <c r="C1264" s="1" t="n">
        <v>46011</v>
      </c>
      <c r="D1264" t="inlineStr">
        <is>
          <t>VÄSTRA GÖTALANDS LÄN</t>
        </is>
      </c>
      <c r="E1264" t="inlineStr">
        <is>
          <t>GÖTENE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59103-2021</t>
        </is>
      </c>
      <c r="B1265" s="1" t="n">
        <v>44490</v>
      </c>
      <c r="C1265" s="1" t="n">
        <v>46011</v>
      </c>
      <c r="D1265" t="inlineStr">
        <is>
          <t>VÄSTRA GÖTALANDS LÄN</t>
        </is>
      </c>
      <c r="E1265" t="inlineStr">
        <is>
          <t>GÖTENE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36598-2021</t>
        </is>
      </c>
      <c r="B1266" s="1" t="n">
        <v>44391</v>
      </c>
      <c r="C1266" s="1" t="n">
        <v>46011</v>
      </c>
      <c r="D1266" t="inlineStr">
        <is>
          <t>VÄSTRA GÖTALANDS LÄN</t>
        </is>
      </c>
      <c r="E1266" t="inlineStr">
        <is>
          <t>SKÖVDE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67959-2021</t>
        </is>
      </c>
      <c r="B1267" s="1" t="n">
        <v>44525</v>
      </c>
      <c r="C1267" s="1" t="n">
        <v>46011</v>
      </c>
      <c r="D1267" t="inlineStr">
        <is>
          <t>VÄSTRA GÖTALANDS LÄN</t>
        </is>
      </c>
      <c r="E1267" t="inlineStr">
        <is>
          <t>FÄRGELANDA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63901-2021</t>
        </is>
      </c>
      <c r="B1268" s="1" t="n">
        <v>44509</v>
      </c>
      <c r="C1268" s="1" t="n">
        <v>46011</v>
      </c>
      <c r="D1268" t="inlineStr">
        <is>
          <t>VÄSTRA GÖTALANDS LÄN</t>
        </is>
      </c>
      <c r="E1268" t="inlineStr">
        <is>
          <t>MUNKEDAL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23098-2022</t>
        </is>
      </c>
      <c r="B1269" s="1" t="n">
        <v>44719</v>
      </c>
      <c r="C1269" s="1" t="n">
        <v>46011</v>
      </c>
      <c r="D1269" t="inlineStr">
        <is>
          <t>VÄSTRA GÖTALANDS LÄN</t>
        </is>
      </c>
      <c r="E1269" t="inlineStr">
        <is>
          <t>HERRLJUNGA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70412-2021</t>
        </is>
      </c>
      <c r="B1270" s="1" t="n">
        <v>44536.59342592592</v>
      </c>
      <c r="C1270" s="1" t="n">
        <v>46011</v>
      </c>
      <c r="D1270" t="inlineStr">
        <is>
          <t>VÄSTRA GÖTALANDS LÄN</t>
        </is>
      </c>
      <c r="E1270" t="inlineStr">
        <is>
          <t>SKARA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40028-2022</t>
        </is>
      </c>
      <c r="B1271" s="1" t="n">
        <v>44820.41811342593</v>
      </c>
      <c r="C1271" s="1" t="n">
        <v>46011</v>
      </c>
      <c r="D1271" t="inlineStr">
        <is>
          <t>VÄSTRA GÖTALANDS LÄN</t>
        </is>
      </c>
      <c r="E1271" t="inlineStr">
        <is>
          <t>LIDKÖPING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37687-2022</t>
        </is>
      </c>
      <c r="B1272" s="1" t="n">
        <v>44810</v>
      </c>
      <c r="C1272" s="1" t="n">
        <v>46011</v>
      </c>
      <c r="D1272" t="inlineStr">
        <is>
          <t>VÄSTRA GÖTALANDS LÄN</t>
        </is>
      </c>
      <c r="E1272" t="inlineStr">
        <is>
          <t>ULRICEHAMN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42215-2021</t>
        </is>
      </c>
      <c r="B1273" s="1" t="n">
        <v>44426</v>
      </c>
      <c r="C1273" s="1" t="n">
        <v>46011</v>
      </c>
      <c r="D1273" t="inlineStr">
        <is>
          <t>VÄSTRA GÖTALANDS LÄN</t>
        </is>
      </c>
      <c r="E1273" t="inlineStr">
        <is>
          <t>TÖREBODA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46638-2022</t>
        </is>
      </c>
      <c r="B1274" s="1" t="n">
        <v>44849.57126157408</v>
      </c>
      <c r="C1274" s="1" t="n">
        <v>46011</v>
      </c>
      <c r="D1274" t="inlineStr">
        <is>
          <t>VÄSTRA GÖTALANDS LÄN</t>
        </is>
      </c>
      <c r="E1274" t="inlineStr">
        <is>
          <t>SVENLJUNGA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46722-2022</t>
        </is>
      </c>
      <c r="B1275" s="1" t="n">
        <v>44851.40767361111</v>
      </c>
      <c r="C1275" s="1" t="n">
        <v>46011</v>
      </c>
      <c r="D1275" t="inlineStr">
        <is>
          <t>VÄSTRA GÖTALANDS LÄN</t>
        </is>
      </c>
      <c r="E1275" t="inlineStr">
        <is>
          <t>VÄNERSBORG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52891-2022</t>
        </is>
      </c>
      <c r="B1276" s="1" t="n">
        <v>44875.56251157408</v>
      </c>
      <c r="C1276" s="1" t="n">
        <v>46011</v>
      </c>
      <c r="D1276" t="inlineStr">
        <is>
          <t>VÄSTRA GÖTALANDS LÄN</t>
        </is>
      </c>
      <c r="E1276" t="inlineStr">
        <is>
          <t>LILLA EDET</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41592-2022</t>
        </is>
      </c>
      <c r="B1277" s="1" t="n">
        <v>44827</v>
      </c>
      <c r="C1277" s="1" t="n">
        <v>46011</v>
      </c>
      <c r="D1277" t="inlineStr">
        <is>
          <t>VÄSTRA GÖTALANDS LÄN</t>
        </is>
      </c>
      <c r="E1277" t="inlineStr">
        <is>
          <t>ORUST</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29672-2022</t>
        </is>
      </c>
      <c r="B1278" s="1" t="n">
        <v>44754.85047453704</v>
      </c>
      <c r="C1278" s="1" t="n">
        <v>46011</v>
      </c>
      <c r="D1278" t="inlineStr">
        <is>
          <t>VÄSTRA GÖTALANDS LÄN</t>
        </is>
      </c>
      <c r="E1278" t="inlineStr">
        <is>
          <t>HERRLJUNGA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39106-2022</t>
        </is>
      </c>
      <c r="B1279" s="1" t="n">
        <v>44817.43634259259</v>
      </c>
      <c r="C1279" s="1" t="n">
        <v>46011</v>
      </c>
      <c r="D1279" t="inlineStr">
        <is>
          <t>VÄSTRA GÖTALANDS LÄN</t>
        </is>
      </c>
      <c r="E1279" t="inlineStr">
        <is>
          <t>ULRICEHAMN</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69935-2021</t>
        </is>
      </c>
      <c r="B1280" s="1" t="n">
        <v>44533</v>
      </c>
      <c r="C1280" s="1" t="n">
        <v>46011</v>
      </c>
      <c r="D1280" t="inlineStr">
        <is>
          <t>VÄSTRA GÖTALANDS LÄN</t>
        </is>
      </c>
      <c r="E1280" t="inlineStr">
        <is>
          <t>VÅRGÅRDA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1432-2022</t>
        </is>
      </c>
      <c r="B1281" s="1" t="n">
        <v>44573</v>
      </c>
      <c r="C1281" s="1" t="n">
        <v>46011</v>
      </c>
      <c r="D1281" t="inlineStr">
        <is>
          <t>VÄSTRA GÖTALANDS LÄN</t>
        </is>
      </c>
      <c r="E1281" t="inlineStr">
        <is>
          <t>TANUM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68739-2021</t>
        </is>
      </c>
      <c r="B1282" s="1" t="n">
        <v>44529</v>
      </c>
      <c r="C1282" s="1" t="n">
        <v>46011</v>
      </c>
      <c r="D1282" t="inlineStr">
        <is>
          <t>VÄSTRA GÖTALANDS LÄN</t>
        </is>
      </c>
      <c r="E1282" t="inlineStr">
        <is>
          <t>LYSEKIL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41908-2022</t>
        </is>
      </c>
      <c r="B1283" s="1" t="n">
        <v>44830</v>
      </c>
      <c r="C1283" s="1" t="n">
        <v>46011</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51678-2021</t>
        </is>
      </c>
      <c r="B1284" s="1" t="n">
        <v>44462</v>
      </c>
      <c r="C1284" s="1" t="n">
        <v>46011</v>
      </c>
      <c r="D1284" t="inlineStr">
        <is>
          <t>VÄSTRA GÖTALANDS LÄN</t>
        </is>
      </c>
      <c r="E1284" t="inlineStr">
        <is>
          <t>TIDAHOLM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45215-2021</t>
        </is>
      </c>
      <c r="B1285" s="1" t="n">
        <v>44439</v>
      </c>
      <c r="C1285" s="1" t="n">
        <v>46011</v>
      </c>
      <c r="D1285" t="inlineStr">
        <is>
          <t>VÄSTRA GÖTALANDS LÄN</t>
        </is>
      </c>
      <c r="E1285" t="inlineStr">
        <is>
          <t>MUNKEDAL</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49196-2021</t>
        </is>
      </c>
      <c r="B1286" s="1" t="n">
        <v>44453</v>
      </c>
      <c r="C1286" s="1" t="n">
        <v>46011</v>
      </c>
      <c r="D1286" t="inlineStr">
        <is>
          <t>VÄSTRA GÖTALANDS LÄN</t>
        </is>
      </c>
      <c r="E1286" t="inlineStr">
        <is>
          <t>MARK</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30-2021</t>
        </is>
      </c>
      <c r="B1287" s="1" t="n">
        <v>44198</v>
      </c>
      <c r="C1287" s="1" t="n">
        <v>46011</v>
      </c>
      <c r="D1287" t="inlineStr">
        <is>
          <t>VÄSTRA GÖTALANDS LÄN</t>
        </is>
      </c>
      <c r="E1287" t="inlineStr">
        <is>
          <t>KARLSBORG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70374-2021</t>
        </is>
      </c>
      <c r="B1288" s="1" t="n">
        <v>44536</v>
      </c>
      <c r="C1288" s="1" t="n">
        <v>46011</v>
      </c>
      <c r="D1288" t="inlineStr">
        <is>
          <t>VÄSTRA GÖTALANDS LÄN</t>
        </is>
      </c>
      <c r="E1288" t="inlineStr">
        <is>
          <t>DALS-ED</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40714-2021</t>
        </is>
      </c>
      <c r="B1289" s="1" t="n">
        <v>44420</v>
      </c>
      <c r="C1289" s="1" t="n">
        <v>46011</v>
      </c>
      <c r="D1289" t="inlineStr">
        <is>
          <t>VÄSTRA GÖTALANDS LÄN</t>
        </is>
      </c>
      <c r="E1289" t="inlineStr">
        <is>
          <t>FALKÖPING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29106-2022</t>
        </is>
      </c>
      <c r="B1290" s="1" t="n">
        <v>44750.42491898148</v>
      </c>
      <c r="C1290" s="1" t="n">
        <v>46011</v>
      </c>
      <c r="D1290" t="inlineStr">
        <is>
          <t>VÄSTRA GÖTALANDS LÄN</t>
        </is>
      </c>
      <c r="E1290" t="inlineStr">
        <is>
          <t>LERUM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70939-2021</t>
        </is>
      </c>
      <c r="B1291" s="1" t="n">
        <v>44538.49733796297</v>
      </c>
      <c r="C1291" s="1" t="n">
        <v>46011</v>
      </c>
      <c r="D1291" t="inlineStr">
        <is>
          <t>VÄSTRA GÖTALANDS LÄN</t>
        </is>
      </c>
      <c r="E1291" t="inlineStr">
        <is>
          <t>KARLSBORG</t>
        </is>
      </c>
      <c r="F1291" t="inlineStr">
        <is>
          <t>Övriga Aktiebolag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1861-2022</t>
        </is>
      </c>
      <c r="B1292" s="1" t="n">
        <v>44574.93475694444</v>
      </c>
      <c r="C1292" s="1" t="n">
        <v>46011</v>
      </c>
      <c r="D1292" t="inlineStr">
        <is>
          <t>VÄSTRA GÖTALANDS LÄN</t>
        </is>
      </c>
      <c r="E1292" t="inlineStr">
        <is>
          <t>UDDEVALLA</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3038-2021</t>
        </is>
      </c>
      <c r="B1293" s="1" t="n">
        <v>44216</v>
      </c>
      <c r="C1293" s="1" t="n">
        <v>46011</v>
      </c>
      <c r="D1293" t="inlineStr">
        <is>
          <t>VÄSTRA GÖTALANDS LÄN</t>
        </is>
      </c>
      <c r="E1293" t="inlineStr">
        <is>
          <t>KUNGÄLV</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15861-2021</t>
        </is>
      </c>
      <c r="B1294" s="1" t="n">
        <v>44286.76164351852</v>
      </c>
      <c r="C1294" s="1" t="n">
        <v>46011</v>
      </c>
      <c r="D1294" t="inlineStr">
        <is>
          <t>VÄSTRA GÖTALANDS LÄN</t>
        </is>
      </c>
      <c r="E1294" t="inlineStr">
        <is>
          <t>TROLLHÄTTAN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15383-2021</t>
        </is>
      </c>
      <c r="B1295" s="1" t="n">
        <v>44284</v>
      </c>
      <c r="C1295" s="1" t="n">
        <v>46011</v>
      </c>
      <c r="D1295" t="inlineStr">
        <is>
          <t>VÄSTRA GÖTALANDS LÄN</t>
        </is>
      </c>
      <c r="E1295" t="inlineStr">
        <is>
          <t>MELLERUD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29639-2022</t>
        </is>
      </c>
      <c r="B1296" s="1" t="n">
        <v>44754</v>
      </c>
      <c r="C1296" s="1" t="n">
        <v>46011</v>
      </c>
      <c r="D1296" t="inlineStr">
        <is>
          <t>VÄSTRA GÖTALANDS LÄN</t>
        </is>
      </c>
      <c r="E1296" t="inlineStr">
        <is>
          <t>MELLERUD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1577-2022</t>
        </is>
      </c>
      <c r="B1297" s="1" t="n">
        <v>44573.65174768519</v>
      </c>
      <c r="C1297" s="1" t="n">
        <v>46011</v>
      </c>
      <c r="D1297" t="inlineStr">
        <is>
          <t>VÄSTRA GÖTALANDS LÄN</t>
        </is>
      </c>
      <c r="E1297" t="inlineStr">
        <is>
          <t>BENGTSFORS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14268-2022</t>
        </is>
      </c>
      <c r="B1298" s="1" t="n">
        <v>44651</v>
      </c>
      <c r="C1298" s="1" t="n">
        <v>46011</v>
      </c>
      <c r="D1298" t="inlineStr">
        <is>
          <t>VÄSTRA GÖTALANDS LÄN</t>
        </is>
      </c>
      <c r="E1298" t="inlineStr">
        <is>
          <t>MUNKEDAL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30137-2021</t>
        </is>
      </c>
      <c r="B1299" s="1" t="n">
        <v>44363.5824537037</v>
      </c>
      <c r="C1299" s="1" t="n">
        <v>46011</v>
      </c>
      <c r="D1299" t="inlineStr">
        <is>
          <t>VÄSTRA GÖTALANDS LÄN</t>
        </is>
      </c>
      <c r="E1299" t="inlineStr">
        <is>
          <t>SVENLJUNGA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69624-2020</t>
        </is>
      </c>
      <c r="B1300" s="1" t="n">
        <v>44195</v>
      </c>
      <c r="C1300" s="1" t="n">
        <v>46011</v>
      </c>
      <c r="D1300" t="inlineStr">
        <is>
          <t>VÄSTRA GÖTALANDS LÄN</t>
        </is>
      </c>
      <c r="E1300" t="inlineStr">
        <is>
          <t>ULRICEHAMN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12274-2021</t>
        </is>
      </c>
      <c r="B1301" s="1" t="n">
        <v>44266.91868055556</v>
      </c>
      <c r="C1301" s="1" t="n">
        <v>46011</v>
      </c>
      <c r="D1301" t="inlineStr">
        <is>
          <t>VÄSTRA GÖTALANDS LÄN</t>
        </is>
      </c>
      <c r="E1301" t="inlineStr">
        <is>
          <t>STENUNGSUND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11510-2021</t>
        </is>
      </c>
      <c r="B1302" s="1" t="n">
        <v>44264.40030092592</v>
      </c>
      <c r="C1302" s="1" t="n">
        <v>46011</v>
      </c>
      <c r="D1302" t="inlineStr">
        <is>
          <t>VÄSTRA GÖTALANDS LÄN</t>
        </is>
      </c>
      <c r="E1302" t="inlineStr">
        <is>
          <t>BENGTSFORS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55278-2021</t>
        </is>
      </c>
      <c r="B1303" s="1" t="n">
        <v>44475</v>
      </c>
      <c r="C1303" s="1" t="n">
        <v>46011</v>
      </c>
      <c r="D1303" t="inlineStr">
        <is>
          <t>VÄSTRA GÖTALANDS LÄN</t>
        </is>
      </c>
      <c r="E1303" t="inlineStr">
        <is>
          <t>FÄRGELANDA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19064-2022</t>
        </is>
      </c>
      <c r="B1304" s="1" t="n">
        <v>44691</v>
      </c>
      <c r="C1304" s="1" t="n">
        <v>46011</v>
      </c>
      <c r="D1304" t="inlineStr">
        <is>
          <t>VÄSTRA GÖTALANDS LÄN</t>
        </is>
      </c>
      <c r="E1304" t="inlineStr">
        <is>
          <t>BORÅS</t>
        </is>
      </c>
      <c r="F1304" t="inlineStr">
        <is>
          <t>Sveaskog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35107-2021</t>
        </is>
      </c>
      <c r="B1305" s="1" t="n">
        <v>44384.3640162037</v>
      </c>
      <c r="C1305" s="1" t="n">
        <v>46011</v>
      </c>
      <c r="D1305" t="inlineStr">
        <is>
          <t>VÄSTRA GÖTALANDS LÄN</t>
        </is>
      </c>
      <c r="E1305" t="inlineStr">
        <is>
          <t>GRÄSTORP</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19145-2022</t>
        </is>
      </c>
      <c r="B1306" s="1" t="n">
        <v>44691.62885416667</v>
      </c>
      <c r="C1306" s="1" t="n">
        <v>46011</v>
      </c>
      <c r="D1306" t="inlineStr">
        <is>
          <t>VÄSTRA GÖTALANDS LÄN</t>
        </is>
      </c>
      <c r="E1306" t="inlineStr">
        <is>
          <t>BENGTSFORS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67230-2021</t>
        </is>
      </c>
      <c r="B1307" s="1" t="n">
        <v>44523.53108796296</v>
      </c>
      <c r="C1307" s="1" t="n">
        <v>46011</v>
      </c>
      <c r="D1307" t="inlineStr">
        <is>
          <t>VÄSTRA GÖTALANDS LÄN</t>
        </is>
      </c>
      <c r="E1307" t="inlineStr">
        <is>
          <t>MARK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67260-2021</t>
        </is>
      </c>
      <c r="B1308" s="1" t="n">
        <v>44523</v>
      </c>
      <c r="C1308" s="1" t="n">
        <v>46011</v>
      </c>
      <c r="D1308" t="inlineStr">
        <is>
          <t>VÄSTRA GÖTALANDS LÄN</t>
        </is>
      </c>
      <c r="E1308" t="inlineStr">
        <is>
          <t>UDDEVALLA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3459-2022</t>
        </is>
      </c>
      <c r="B1309" s="1" t="n">
        <v>44585</v>
      </c>
      <c r="C1309" s="1" t="n">
        <v>46011</v>
      </c>
      <c r="D1309" t="inlineStr">
        <is>
          <t>VÄSTRA GÖTALANDS LÄN</t>
        </is>
      </c>
      <c r="E1309" t="inlineStr">
        <is>
          <t>TRANEMO</t>
        </is>
      </c>
      <c r="F1309" t="inlineStr">
        <is>
          <t>Kyrkan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74491-2021</t>
        </is>
      </c>
      <c r="B1310" s="1" t="n">
        <v>44560.6203587963</v>
      </c>
      <c r="C1310" s="1" t="n">
        <v>46011</v>
      </c>
      <c r="D1310" t="inlineStr">
        <is>
          <t>VÄSTRA GÖTALANDS LÄN</t>
        </is>
      </c>
      <c r="E1310" t="inlineStr">
        <is>
          <t>SKARA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10650-2021</t>
        </is>
      </c>
      <c r="B1311" s="1" t="n">
        <v>44258</v>
      </c>
      <c r="C1311" s="1" t="n">
        <v>46011</v>
      </c>
      <c r="D1311" t="inlineStr">
        <is>
          <t>VÄSTRA GÖTALANDS LÄN</t>
        </is>
      </c>
      <c r="E1311" t="inlineStr">
        <is>
          <t>BENGTSFORS</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20163-2021</t>
        </is>
      </c>
      <c r="B1312" s="1" t="n">
        <v>44314.54328703704</v>
      </c>
      <c r="C1312" s="1" t="n">
        <v>46011</v>
      </c>
      <c r="D1312" t="inlineStr">
        <is>
          <t>VÄSTRA GÖTALANDS LÄN</t>
        </is>
      </c>
      <c r="E1312" t="inlineStr">
        <is>
          <t>VARA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19388-2021</t>
        </is>
      </c>
      <c r="B1313" s="1" t="n">
        <v>44309</v>
      </c>
      <c r="C1313" s="1" t="n">
        <v>46011</v>
      </c>
      <c r="D1313" t="inlineStr">
        <is>
          <t>VÄSTRA GÖTALANDS LÄN</t>
        </is>
      </c>
      <c r="E1313" t="inlineStr">
        <is>
          <t>ULRICEHAMN</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12363-2022</t>
        </is>
      </c>
      <c r="B1314" s="1" t="n">
        <v>44637</v>
      </c>
      <c r="C1314" s="1" t="n">
        <v>46011</v>
      </c>
      <c r="D1314" t="inlineStr">
        <is>
          <t>VÄSTRA GÖTALANDS LÄN</t>
        </is>
      </c>
      <c r="E1314" t="inlineStr">
        <is>
          <t>LILLA EDET</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54668-2021</t>
        </is>
      </c>
      <c r="B1315" s="1" t="n">
        <v>44473</v>
      </c>
      <c r="C1315" s="1" t="n">
        <v>46011</v>
      </c>
      <c r="D1315" t="inlineStr">
        <is>
          <t>VÄSTRA GÖTALANDS LÄN</t>
        </is>
      </c>
      <c r="E1315" t="inlineStr">
        <is>
          <t>TROLLHÄTTAN</t>
        </is>
      </c>
      <c r="F1315" t="inlineStr">
        <is>
          <t>Kommuner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21430-2021</t>
        </is>
      </c>
      <c r="B1316" s="1" t="n">
        <v>44316</v>
      </c>
      <c r="C1316" s="1" t="n">
        <v>46011</v>
      </c>
      <c r="D1316" t="inlineStr">
        <is>
          <t>VÄSTRA GÖTALANDS LÄN</t>
        </is>
      </c>
      <c r="E1316" t="inlineStr">
        <is>
          <t>TANUM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42157-2021</t>
        </is>
      </c>
      <c r="B1317" s="1" t="n">
        <v>44426.66753472222</v>
      </c>
      <c r="C1317" s="1" t="n">
        <v>46011</v>
      </c>
      <c r="D1317" t="inlineStr">
        <is>
          <t>VÄSTRA GÖTALANDS LÄN</t>
        </is>
      </c>
      <c r="E1317" t="inlineStr">
        <is>
          <t>BOLLEBYGD</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1109-2022</t>
        </is>
      </c>
      <c r="B1318" s="1" t="n">
        <v>44572</v>
      </c>
      <c r="C1318" s="1" t="n">
        <v>46011</v>
      </c>
      <c r="D1318" t="inlineStr">
        <is>
          <t>VÄSTRA GÖTALANDS LÄN</t>
        </is>
      </c>
      <c r="E1318" t="inlineStr">
        <is>
          <t>VÅRGÅRDA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39328-2022</t>
        </is>
      </c>
      <c r="B1319" s="1" t="n">
        <v>44817</v>
      </c>
      <c r="C1319" s="1" t="n">
        <v>46011</v>
      </c>
      <c r="D1319" t="inlineStr">
        <is>
          <t>VÄSTRA GÖTALANDS LÄN</t>
        </is>
      </c>
      <c r="E1319" t="inlineStr">
        <is>
          <t>BORÅS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39329-2022</t>
        </is>
      </c>
      <c r="B1320" s="1" t="n">
        <v>44817</v>
      </c>
      <c r="C1320" s="1" t="n">
        <v>46011</v>
      </c>
      <c r="D1320" t="inlineStr">
        <is>
          <t>VÄSTRA GÖTALANDS LÄN</t>
        </is>
      </c>
      <c r="E1320" t="inlineStr">
        <is>
          <t>BORÅS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12046-2021</t>
        </is>
      </c>
      <c r="B1321" s="1" t="n">
        <v>44266</v>
      </c>
      <c r="C1321" s="1" t="n">
        <v>46011</v>
      </c>
      <c r="D1321" t="inlineStr">
        <is>
          <t>VÄSTRA GÖTALANDS LÄN</t>
        </is>
      </c>
      <c r="E1321" t="inlineStr">
        <is>
          <t>DALS-ED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1510-2021</t>
        </is>
      </c>
      <c r="B1322" s="1" t="n">
        <v>44209</v>
      </c>
      <c r="C1322" s="1" t="n">
        <v>46011</v>
      </c>
      <c r="D1322" t="inlineStr">
        <is>
          <t>VÄSTRA GÖTALANDS LÄN</t>
        </is>
      </c>
      <c r="E1322" t="inlineStr">
        <is>
          <t>SVENLJUNGA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54077-2021</t>
        </is>
      </c>
      <c r="B1323" s="1" t="n">
        <v>44470.45872685185</v>
      </c>
      <c r="C1323" s="1" t="n">
        <v>46011</v>
      </c>
      <c r="D1323" t="inlineStr">
        <is>
          <t>VÄSTRA GÖTALANDS LÄN</t>
        </is>
      </c>
      <c r="E1323" t="inlineStr">
        <is>
          <t>ÅMÅL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45842-2021</t>
        </is>
      </c>
      <c r="B1324" s="1" t="n">
        <v>44441.54540509259</v>
      </c>
      <c r="C1324" s="1" t="n">
        <v>46011</v>
      </c>
      <c r="D1324" t="inlineStr">
        <is>
          <t>VÄSTRA GÖTALANDS LÄN</t>
        </is>
      </c>
      <c r="E1324" t="inlineStr">
        <is>
          <t>BENGTSFORS</t>
        </is>
      </c>
      <c r="F1324" t="inlineStr">
        <is>
          <t>Övriga Aktiebolag</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47876-2021</t>
        </is>
      </c>
      <c r="B1325" s="1" t="n">
        <v>44448</v>
      </c>
      <c r="C1325" s="1" t="n">
        <v>46011</v>
      </c>
      <c r="D1325" t="inlineStr">
        <is>
          <t>VÄSTRA GÖTALANDS LÄN</t>
        </is>
      </c>
      <c r="E1325" t="inlineStr">
        <is>
          <t>ORUST</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47901-2021</t>
        </is>
      </c>
      <c r="B1326" s="1" t="n">
        <v>44448.8524537037</v>
      </c>
      <c r="C1326" s="1" t="n">
        <v>46011</v>
      </c>
      <c r="D1326" t="inlineStr">
        <is>
          <t>VÄSTRA GÖTALANDS LÄN</t>
        </is>
      </c>
      <c r="E1326" t="inlineStr">
        <is>
          <t>VARA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47963-2021</t>
        </is>
      </c>
      <c r="B1327" s="1" t="n">
        <v>44449.26315972222</v>
      </c>
      <c r="C1327" s="1" t="n">
        <v>46011</v>
      </c>
      <c r="D1327" t="inlineStr">
        <is>
          <t>VÄSTRA GÖTALANDS LÄN</t>
        </is>
      </c>
      <c r="E1327" t="inlineStr">
        <is>
          <t>TIDAHOLM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54326-2021</t>
        </is>
      </c>
      <c r="B1328" s="1" t="n">
        <v>44472.87332175926</v>
      </c>
      <c r="C1328" s="1" t="n">
        <v>46011</v>
      </c>
      <c r="D1328" t="inlineStr">
        <is>
          <t>VÄSTRA GÖTALANDS LÄN</t>
        </is>
      </c>
      <c r="E1328" t="inlineStr">
        <is>
          <t>TRANEMO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7402-2021</t>
        </is>
      </c>
      <c r="B1329" s="1" t="n">
        <v>44239</v>
      </c>
      <c r="C1329" s="1" t="n">
        <v>46011</v>
      </c>
      <c r="D1329" t="inlineStr">
        <is>
          <t>VÄSTRA GÖTALANDS LÄN</t>
        </is>
      </c>
      <c r="E1329" t="inlineStr">
        <is>
          <t>SKÖVDE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47227-2021</t>
        </is>
      </c>
      <c r="B1330" s="1" t="n">
        <v>44446</v>
      </c>
      <c r="C1330" s="1" t="n">
        <v>46011</v>
      </c>
      <c r="D1330" t="inlineStr">
        <is>
          <t>VÄSTRA GÖTALANDS LÄN</t>
        </is>
      </c>
      <c r="E1330" t="inlineStr">
        <is>
          <t>DALS-ED</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43442-2021</t>
        </is>
      </c>
      <c r="B1331" s="1" t="n">
        <v>44432.66158564815</v>
      </c>
      <c r="C1331" s="1" t="n">
        <v>46011</v>
      </c>
      <c r="D1331" t="inlineStr">
        <is>
          <t>VÄSTRA GÖTALANDS LÄN</t>
        </is>
      </c>
      <c r="E1331" t="inlineStr">
        <is>
          <t>MUNKEDAL</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51421-2021</t>
        </is>
      </c>
      <c r="B1332" s="1" t="n">
        <v>44461</v>
      </c>
      <c r="C1332" s="1" t="n">
        <v>46011</v>
      </c>
      <c r="D1332" t="inlineStr">
        <is>
          <t>VÄSTRA GÖTALANDS LÄN</t>
        </is>
      </c>
      <c r="E1332" t="inlineStr">
        <is>
          <t>VARA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49955-2021</t>
        </is>
      </c>
      <c r="B1333" s="1" t="n">
        <v>44456</v>
      </c>
      <c r="C1333" s="1" t="n">
        <v>46011</v>
      </c>
      <c r="D1333" t="inlineStr">
        <is>
          <t>VÄSTRA GÖTALANDS LÄN</t>
        </is>
      </c>
      <c r="E1333" t="inlineStr">
        <is>
          <t>ALE</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70988-2021</t>
        </is>
      </c>
      <c r="B1334" s="1" t="n">
        <v>44538</v>
      </c>
      <c r="C1334" s="1" t="n">
        <v>46011</v>
      </c>
      <c r="D1334" t="inlineStr">
        <is>
          <t>VÄSTRA GÖTALANDS LÄN</t>
        </is>
      </c>
      <c r="E1334" t="inlineStr">
        <is>
          <t>BORÅS</t>
        </is>
      </c>
      <c r="F1334" t="inlineStr">
        <is>
          <t>Kommuner</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68284-2021</t>
        </is>
      </c>
      <c r="B1335" s="1" t="n">
        <v>44526.68170138889</v>
      </c>
      <c r="C1335" s="1" t="n">
        <v>46011</v>
      </c>
      <c r="D1335" t="inlineStr">
        <is>
          <t>VÄSTRA GÖTALANDS LÄN</t>
        </is>
      </c>
      <c r="E1335" t="inlineStr">
        <is>
          <t>FÄRGELANDA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51116-2021</t>
        </is>
      </c>
      <c r="B1336" s="1" t="n">
        <v>44461</v>
      </c>
      <c r="C1336" s="1" t="n">
        <v>46011</v>
      </c>
      <c r="D1336" t="inlineStr">
        <is>
          <t>VÄSTRA GÖTALANDS LÄN</t>
        </is>
      </c>
      <c r="E1336" t="inlineStr">
        <is>
          <t>STENUNGSUND</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4359-2021</t>
        </is>
      </c>
      <c r="B1337" s="1" t="n">
        <v>44223.67177083333</v>
      </c>
      <c r="C1337" s="1" t="n">
        <v>46011</v>
      </c>
      <c r="D1337" t="inlineStr">
        <is>
          <t>VÄSTRA GÖTALANDS LÄN</t>
        </is>
      </c>
      <c r="E1337" t="inlineStr">
        <is>
          <t>MÖLNDAL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45465-2021</t>
        </is>
      </c>
      <c r="B1338" s="1" t="n">
        <v>44440</v>
      </c>
      <c r="C1338" s="1" t="n">
        <v>46011</v>
      </c>
      <c r="D1338" t="inlineStr">
        <is>
          <t>VÄSTRA GÖTALANDS LÄN</t>
        </is>
      </c>
      <c r="E1338" t="inlineStr">
        <is>
          <t>MELLERUD</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35991-2021</t>
        </is>
      </c>
      <c r="B1339" s="1" t="n">
        <v>44389.36113425926</v>
      </c>
      <c r="C1339" s="1" t="n">
        <v>46011</v>
      </c>
      <c r="D1339" t="inlineStr">
        <is>
          <t>VÄSTRA GÖTALANDS LÄN</t>
        </is>
      </c>
      <c r="E1339" t="inlineStr">
        <is>
          <t>VÅRGÅRDA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48039-2021</t>
        </is>
      </c>
      <c r="B1340" s="1" t="n">
        <v>44449</v>
      </c>
      <c r="C1340" s="1" t="n">
        <v>46011</v>
      </c>
      <c r="D1340" t="inlineStr">
        <is>
          <t>VÄSTRA GÖTALANDS LÄN</t>
        </is>
      </c>
      <c r="E1340" t="inlineStr">
        <is>
          <t>FÄRGELANDA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71031-2021</t>
        </is>
      </c>
      <c r="B1341" s="1" t="n">
        <v>44538.65876157407</v>
      </c>
      <c r="C1341" s="1" t="n">
        <v>46011</v>
      </c>
      <c r="D1341" t="inlineStr">
        <is>
          <t>VÄSTRA GÖTALANDS LÄN</t>
        </is>
      </c>
      <c r="E1341" t="inlineStr">
        <is>
          <t>BORÅS</t>
        </is>
      </c>
      <c r="F1341" t="inlineStr">
        <is>
          <t>Kommuner</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31236-2021</t>
        </is>
      </c>
      <c r="B1342" s="1" t="n">
        <v>44368</v>
      </c>
      <c r="C1342" s="1" t="n">
        <v>46011</v>
      </c>
      <c r="D1342" t="inlineStr">
        <is>
          <t>VÄSTRA GÖTALANDS LÄN</t>
        </is>
      </c>
      <c r="E1342" t="inlineStr">
        <is>
          <t>MARK</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31245-2021</t>
        </is>
      </c>
      <c r="B1343" s="1" t="n">
        <v>44368.66224537037</v>
      </c>
      <c r="C1343" s="1" t="n">
        <v>46011</v>
      </c>
      <c r="D1343" t="inlineStr">
        <is>
          <t>VÄSTRA GÖTALANDS LÄN</t>
        </is>
      </c>
      <c r="E1343" t="inlineStr">
        <is>
          <t>FALKÖPING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48312-2021</t>
        </is>
      </c>
      <c r="B1344" s="1" t="n">
        <v>44450.66346064815</v>
      </c>
      <c r="C1344" s="1" t="n">
        <v>46011</v>
      </c>
      <c r="D1344" t="inlineStr">
        <is>
          <t>VÄSTRA GÖTALANDS LÄN</t>
        </is>
      </c>
      <c r="E1344" t="inlineStr">
        <is>
          <t>KUNGÄLV</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4121-2022</t>
        </is>
      </c>
      <c r="B1345" s="1" t="n">
        <v>44588.46016203704</v>
      </c>
      <c r="C1345" s="1" t="n">
        <v>46011</v>
      </c>
      <c r="D1345" t="inlineStr">
        <is>
          <t>VÄSTRA GÖTALANDS LÄN</t>
        </is>
      </c>
      <c r="E1345" t="inlineStr">
        <is>
          <t>DALS-ED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18500-2022</t>
        </is>
      </c>
      <c r="B1346" s="1" t="n">
        <v>44686.63799768518</v>
      </c>
      <c r="C1346" s="1" t="n">
        <v>46011</v>
      </c>
      <c r="D1346" t="inlineStr">
        <is>
          <t>VÄSTRA GÖTALANDS LÄN</t>
        </is>
      </c>
      <c r="E1346" t="inlineStr">
        <is>
          <t>GULLSPÅNG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49595-2021</t>
        </is>
      </c>
      <c r="B1347" s="1" t="n">
        <v>44455.40164351852</v>
      </c>
      <c r="C1347" s="1" t="n">
        <v>46011</v>
      </c>
      <c r="D1347" t="inlineStr">
        <is>
          <t>VÄSTRA GÖTALANDS LÄN</t>
        </is>
      </c>
      <c r="E1347" t="inlineStr">
        <is>
          <t>HERRLJUNGA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43812-2021</t>
        </is>
      </c>
      <c r="B1348" s="1" t="n">
        <v>44433</v>
      </c>
      <c r="C1348" s="1" t="n">
        <v>46011</v>
      </c>
      <c r="D1348" t="inlineStr">
        <is>
          <t>VÄSTRA GÖTALANDS LÄN</t>
        </is>
      </c>
      <c r="E1348" t="inlineStr">
        <is>
          <t>TIDAHOLM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51153-2021</t>
        </is>
      </c>
      <c r="B1349" s="1" t="n">
        <v>44461</v>
      </c>
      <c r="C1349" s="1" t="n">
        <v>46011</v>
      </c>
      <c r="D1349" t="inlineStr">
        <is>
          <t>VÄSTRA GÖTALANDS LÄN</t>
        </is>
      </c>
      <c r="E1349" t="inlineStr">
        <is>
          <t>MARIESTAD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9209-2022</t>
        </is>
      </c>
      <c r="B1350" s="1" t="n">
        <v>44616.29740740741</v>
      </c>
      <c r="C1350" s="1" t="n">
        <v>46011</v>
      </c>
      <c r="D1350" t="inlineStr">
        <is>
          <t>VÄSTRA GÖTALANDS LÄN</t>
        </is>
      </c>
      <c r="E1350" t="inlineStr">
        <is>
          <t>HJO</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9438-2022</t>
        </is>
      </c>
      <c r="B1351" s="1" t="n">
        <v>44616</v>
      </c>
      <c r="C1351" s="1" t="n">
        <v>46011</v>
      </c>
      <c r="D1351" t="inlineStr">
        <is>
          <t>VÄSTRA GÖTALANDS LÄN</t>
        </is>
      </c>
      <c r="E1351" t="inlineStr">
        <is>
          <t>TÖREBODA</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58307-2021</t>
        </is>
      </c>
      <c r="B1352" s="1" t="n">
        <v>44488</v>
      </c>
      <c r="C1352" s="1" t="n">
        <v>46011</v>
      </c>
      <c r="D1352" t="inlineStr">
        <is>
          <t>VÄSTRA GÖTALANDS LÄN</t>
        </is>
      </c>
      <c r="E1352" t="inlineStr">
        <is>
          <t>VÄNERSBORG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51547-2021</t>
        </is>
      </c>
      <c r="B1353" s="1" t="n">
        <v>44461</v>
      </c>
      <c r="C1353" s="1" t="n">
        <v>46011</v>
      </c>
      <c r="D1353" t="inlineStr">
        <is>
          <t>VÄSTRA GÖTALANDS LÄN</t>
        </is>
      </c>
      <c r="E1353" t="inlineStr">
        <is>
          <t>MELLERUD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51564-2021</t>
        </is>
      </c>
      <c r="B1354" s="1" t="n">
        <v>44462</v>
      </c>
      <c r="C1354" s="1" t="n">
        <v>46011</v>
      </c>
      <c r="D1354" t="inlineStr">
        <is>
          <t>VÄSTRA GÖTALANDS LÄN</t>
        </is>
      </c>
      <c r="E1354" t="inlineStr">
        <is>
          <t>DALS-ED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1114-2022</t>
        </is>
      </c>
      <c r="B1355" s="1" t="n">
        <v>44571</v>
      </c>
      <c r="C1355" s="1" t="n">
        <v>46011</v>
      </c>
      <c r="D1355" t="inlineStr">
        <is>
          <t>VÄSTRA GÖTALANDS LÄN</t>
        </is>
      </c>
      <c r="E1355" t="inlineStr">
        <is>
          <t>BENGTSFORS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62540-2021</t>
        </is>
      </c>
      <c r="B1356" s="1" t="n">
        <v>44503.61056712963</v>
      </c>
      <c r="C1356" s="1" t="n">
        <v>46011</v>
      </c>
      <c r="D1356" t="inlineStr">
        <is>
          <t>VÄSTRA GÖTALANDS LÄN</t>
        </is>
      </c>
      <c r="E1356" t="inlineStr">
        <is>
          <t>VARA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60865-2021</t>
        </is>
      </c>
      <c r="B1357" s="1" t="n">
        <v>44496</v>
      </c>
      <c r="C1357" s="1" t="n">
        <v>46011</v>
      </c>
      <c r="D1357" t="inlineStr">
        <is>
          <t>VÄSTRA GÖTALANDS LÄN</t>
        </is>
      </c>
      <c r="E1357" t="inlineStr">
        <is>
          <t>VÅRGÅRDA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25233-2021</t>
        </is>
      </c>
      <c r="B1358" s="1" t="n">
        <v>44342.40263888889</v>
      </c>
      <c r="C1358" s="1" t="n">
        <v>46011</v>
      </c>
      <c r="D1358" t="inlineStr">
        <is>
          <t>VÄSTRA GÖTALANDS LÄN</t>
        </is>
      </c>
      <c r="E1358" t="inlineStr">
        <is>
          <t>BORÅS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71210-2021</t>
        </is>
      </c>
      <c r="B1359" s="1" t="n">
        <v>44539.55670138889</v>
      </c>
      <c r="C1359" s="1" t="n">
        <v>46011</v>
      </c>
      <c r="D1359" t="inlineStr">
        <is>
          <t>VÄSTRA GÖTALANDS LÄN</t>
        </is>
      </c>
      <c r="E1359" t="inlineStr">
        <is>
          <t>MARIESTAD</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19647-2022</t>
        </is>
      </c>
      <c r="B1360" s="1" t="n">
        <v>44694</v>
      </c>
      <c r="C1360" s="1" t="n">
        <v>46011</v>
      </c>
      <c r="D1360" t="inlineStr">
        <is>
          <t>VÄSTRA GÖTALANDS LÄN</t>
        </is>
      </c>
      <c r="E1360" t="inlineStr">
        <is>
          <t>TIDAHOLM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2926-2021</t>
        </is>
      </c>
      <c r="B1361" s="1" t="n">
        <v>44216</v>
      </c>
      <c r="C1361" s="1" t="n">
        <v>46011</v>
      </c>
      <c r="D1361" t="inlineStr">
        <is>
          <t>VÄSTRA GÖTALANDS LÄN</t>
        </is>
      </c>
      <c r="E1361" t="inlineStr">
        <is>
          <t>MUNKEDAL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6871-2022</t>
        </is>
      </c>
      <c r="B1362" s="1" t="n">
        <v>44602.74396990741</v>
      </c>
      <c r="C1362" s="1" t="n">
        <v>46011</v>
      </c>
      <c r="D1362" t="inlineStr">
        <is>
          <t>VÄSTRA GÖTALANDS LÄN</t>
        </is>
      </c>
      <c r="E1362" t="inlineStr">
        <is>
          <t>TIBRO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7781-2022</t>
        </is>
      </c>
      <c r="B1363" s="1" t="n">
        <v>44608.46501157407</v>
      </c>
      <c r="C1363" s="1" t="n">
        <v>46011</v>
      </c>
      <c r="D1363" t="inlineStr">
        <is>
          <t>VÄSTRA GÖTALANDS LÄN</t>
        </is>
      </c>
      <c r="E1363" t="inlineStr">
        <is>
          <t>TÖREBODA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7787-2022</t>
        </is>
      </c>
      <c r="B1364" s="1" t="n">
        <v>44608</v>
      </c>
      <c r="C1364" s="1" t="n">
        <v>46011</v>
      </c>
      <c r="D1364" t="inlineStr">
        <is>
          <t>VÄSTRA GÖTALANDS LÄN</t>
        </is>
      </c>
      <c r="E1364" t="inlineStr">
        <is>
          <t>STENUNGSUND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10831-2022</t>
        </is>
      </c>
      <c r="B1365" s="1" t="n">
        <v>44627.56489583333</v>
      </c>
      <c r="C1365" s="1" t="n">
        <v>46011</v>
      </c>
      <c r="D1365" t="inlineStr">
        <is>
          <t>VÄSTRA GÖTALANDS LÄN</t>
        </is>
      </c>
      <c r="E1365" t="inlineStr">
        <is>
          <t>VARA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5786-2021</t>
        </is>
      </c>
      <c r="B1366" s="1" t="n">
        <v>44230</v>
      </c>
      <c r="C1366" s="1" t="n">
        <v>46011</v>
      </c>
      <c r="D1366" t="inlineStr">
        <is>
          <t>VÄSTRA GÖTALANDS LÄN</t>
        </is>
      </c>
      <c r="E1366" t="inlineStr">
        <is>
          <t>MARK</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12283-2022</t>
        </is>
      </c>
      <c r="B1367" s="1" t="n">
        <v>44637</v>
      </c>
      <c r="C1367" s="1" t="n">
        <v>46011</v>
      </c>
      <c r="D1367" t="inlineStr">
        <is>
          <t>VÄSTRA GÖTALANDS LÄN</t>
        </is>
      </c>
      <c r="E1367" t="inlineStr">
        <is>
          <t>TRANEMO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19574-2021</t>
        </is>
      </c>
      <c r="B1368" s="1" t="n">
        <v>44312</v>
      </c>
      <c r="C1368" s="1" t="n">
        <v>46011</v>
      </c>
      <c r="D1368" t="inlineStr">
        <is>
          <t>VÄSTRA GÖTALANDS LÄN</t>
        </is>
      </c>
      <c r="E1368" t="inlineStr">
        <is>
          <t>FALKÖPING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16267-2022</t>
        </is>
      </c>
      <c r="B1369" s="1" t="n">
        <v>44670.46336805556</v>
      </c>
      <c r="C1369" s="1" t="n">
        <v>46011</v>
      </c>
      <c r="D1369" t="inlineStr">
        <is>
          <t>VÄSTRA GÖTALANDS LÄN</t>
        </is>
      </c>
      <c r="E1369" t="inlineStr">
        <is>
          <t>FÄRGELANDA</t>
        </is>
      </c>
      <c r="F1369" t="inlineStr">
        <is>
          <t>Kommuner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58161-2021</t>
        </is>
      </c>
      <c r="B1370" s="1" t="n">
        <v>44487.61502314815</v>
      </c>
      <c r="C1370" s="1" t="n">
        <v>46011</v>
      </c>
      <c r="D1370" t="inlineStr">
        <is>
          <t>VÄSTRA GÖTALANDS LÄN</t>
        </is>
      </c>
      <c r="E1370" t="inlineStr">
        <is>
          <t>TRANEMO</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67146-2021</t>
        </is>
      </c>
      <c r="B1371" s="1" t="n">
        <v>44523</v>
      </c>
      <c r="C1371" s="1" t="n">
        <v>46011</v>
      </c>
      <c r="D1371" t="inlineStr">
        <is>
          <t>VÄSTRA GÖTALANDS LÄN</t>
        </is>
      </c>
      <c r="E1371" t="inlineStr">
        <is>
          <t>MARIESTAD</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58184-2021</t>
        </is>
      </c>
      <c r="B1372" s="1" t="n">
        <v>44487.64269675926</v>
      </c>
      <c r="C1372" s="1" t="n">
        <v>46011</v>
      </c>
      <c r="D1372" t="inlineStr">
        <is>
          <t>VÄSTRA GÖTALANDS LÄN</t>
        </is>
      </c>
      <c r="E1372" t="inlineStr">
        <is>
          <t>BENGTSFORS</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12074-2022</t>
        </is>
      </c>
      <c r="B1373" s="1" t="n">
        <v>44636.47163194444</v>
      </c>
      <c r="C1373" s="1" t="n">
        <v>46011</v>
      </c>
      <c r="D1373" t="inlineStr">
        <is>
          <t>VÄSTRA GÖTALANDS LÄN</t>
        </is>
      </c>
      <c r="E1373" t="inlineStr">
        <is>
          <t>ULRICEHAMN</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14421-2021</t>
        </is>
      </c>
      <c r="B1374" s="1" t="n">
        <v>44279.44748842593</v>
      </c>
      <c r="C1374" s="1" t="n">
        <v>46011</v>
      </c>
      <c r="D1374" t="inlineStr">
        <is>
          <t>VÄSTRA GÖTALANDS LÄN</t>
        </is>
      </c>
      <c r="E1374" t="inlineStr">
        <is>
          <t>SKÖVDE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3614-2021</t>
        </is>
      </c>
      <c r="B1375" s="1" t="n">
        <v>44220</v>
      </c>
      <c r="C1375" s="1" t="n">
        <v>46011</v>
      </c>
      <c r="D1375" t="inlineStr">
        <is>
          <t>VÄSTRA GÖTALANDS LÄN</t>
        </is>
      </c>
      <c r="E1375" t="inlineStr">
        <is>
          <t>ULRICEHAMN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23296-2022</t>
        </is>
      </c>
      <c r="B1376" s="1" t="n">
        <v>44720</v>
      </c>
      <c r="C1376" s="1" t="n">
        <v>46011</v>
      </c>
      <c r="D1376" t="inlineStr">
        <is>
          <t>VÄSTRA GÖTALANDS LÄN</t>
        </is>
      </c>
      <c r="E1376" t="inlineStr">
        <is>
          <t>MARK</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22660-2022</t>
        </is>
      </c>
      <c r="B1377" s="1" t="n">
        <v>44714.47053240741</v>
      </c>
      <c r="C1377" s="1" t="n">
        <v>46011</v>
      </c>
      <c r="D1377" t="inlineStr">
        <is>
          <t>VÄSTRA GÖTALANDS LÄN</t>
        </is>
      </c>
      <c r="E1377" t="inlineStr">
        <is>
          <t>LIDKÖPING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60958-2021</t>
        </is>
      </c>
      <c r="B1378" s="1" t="n">
        <v>44497</v>
      </c>
      <c r="C1378" s="1" t="n">
        <v>46011</v>
      </c>
      <c r="D1378" t="inlineStr">
        <is>
          <t>VÄSTRA GÖTALANDS LÄN</t>
        </is>
      </c>
      <c r="E1378" t="inlineStr">
        <is>
          <t>MARK</t>
        </is>
      </c>
      <c r="F1378" t="inlineStr">
        <is>
          <t>Kyrkan</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18346-2022</t>
        </is>
      </c>
      <c r="B1379" s="1" t="n">
        <v>44685.67520833333</v>
      </c>
      <c r="C1379" s="1" t="n">
        <v>46011</v>
      </c>
      <c r="D1379" t="inlineStr">
        <is>
          <t>VÄSTRA GÖTALANDS LÄN</t>
        </is>
      </c>
      <c r="E1379" t="inlineStr">
        <is>
          <t>LILLA EDET</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1296-2022</t>
        </is>
      </c>
      <c r="B1380" s="1" t="n">
        <v>44572</v>
      </c>
      <c r="C1380" s="1" t="n">
        <v>46011</v>
      </c>
      <c r="D1380" t="inlineStr">
        <is>
          <t>VÄSTRA GÖTALANDS LÄN</t>
        </is>
      </c>
      <c r="E1380" t="inlineStr">
        <is>
          <t>TROLLHÄTTAN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69103-2021</t>
        </is>
      </c>
      <c r="B1381" s="1" t="n">
        <v>44530.70315972222</v>
      </c>
      <c r="C1381" s="1" t="n">
        <v>46011</v>
      </c>
      <c r="D1381" t="inlineStr">
        <is>
          <t>VÄSTRA GÖTALANDS LÄN</t>
        </is>
      </c>
      <c r="E1381" t="inlineStr">
        <is>
          <t>SVENLJUNGA</t>
        </is>
      </c>
      <c r="F1381" t="inlineStr">
        <is>
          <t>Kommuner</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5668-2021</t>
        </is>
      </c>
      <c r="B1382" s="1" t="n">
        <v>44230</v>
      </c>
      <c r="C1382" s="1" t="n">
        <v>46011</v>
      </c>
      <c r="D1382" t="inlineStr">
        <is>
          <t>VÄSTRA GÖTALANDS LÄN</t>
        </is>
      </c>
      <c r="E1382" t="inlineStr">
        <is>
          <t>TIDAHOLM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560-2022</t>
        </is>
      </c>
      <c r="B1383" s="1" t="n">
        <v>44566</v>
      </c>
      <c r="C1383" s="1" t="n">
        <v>46011</v>
      </c>
      <c r="D1383" t="inlineStr">
        <is>
          <t>VÄSTRA GÖTALANDS LÄN</t>
        </is>
      </c>
      <c r="E1383" t="inlineStr">
        <is>
          <t>LIDKÖPING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12836-2021</t>
        </is>
      </c>
      <c r="B1384" s="1" t="n">
        <v>44271.34182870371</v>
      </c>
      <c r="C1384" s="1" t="n">
        <v>46011</v>
      </c>
      <c r="D1384" t="inlineStr">
        <is>
          <t>VÄSTRA GÖTALANDS LÄN</t>
        </is>
      </c>
      <c r="E1384" t="inlineStr">
        <is>
          <t>MELLERUD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41048-2022</t>
        </is>
      </c>
      <c r="B1385" s="1" t="n">
        <v>44825.57486111111</v>
      </c>
      <c r="C1385" s="1" t="n">
        <v>46011</v>
      </c>
      <c r="D1385" t="inlineStr">
        <is>
          <t>VÄSTRA GÖTALANDS LÄN</t>
        </is>
      </c>
      <c r="E1385" t="inlineStr">
        <is>
          <t>BORÅS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14330-2021</t>
        </is>
      </c>
      <c r="B1386" s="1" t="n">
        <v>44278.94663194445</v>
      </c>
      <c r="C1386" s="1" t="n">
        <v>46011</v>
      </c>
      <c r="D1386" t="inlineStr">
        <is>
          <t>VÄSTRA GÖTALANDS LÄN</t>
        </is>
      </c>
      <c r="E1386" t="inlineStr">
        <is>
          <t>FALKÖPING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18965-2022</t>
        </is>
      </c>
      <c r="B1387" s="1" t="n">
        <v>44690</v>
      </c>
      <c r="C1387" s="1" t="n">
        <v>46011</v>
      </c>
      <c r="D1387" t="inlineStr">
        <is>
          <t>VÄSTRA GÖTALANDS LÄN</t>
        </is>
      </c>
      <c r="E1387" t="inlineStr">
        <is>
          <t>MUNKEDAL</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12176-2021</t>
        </is>
      </c>
      <c r="B1388" s="1" t="n">
        <v>44266</v>
      </c>
      <c r="C1388" s="1" t="n">
        <v>46011</v>
      </c>
      <c r="D1388" t="inlineStr">
        <is>
          <t>VÄSTRA GÖTALANDS LÄN</t>
        </is>
      </c>
      <c r="E1388" t="inlineStr">
        <is>
          <t>FÄRGELANDA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9332-2021</t>
        </is>
      </c>
      <c r="B1389" s="1" t="n">
        <v>44250</v>
      </c>
      <c r="C1389" s="1" t="n">
        <v>46011</v>
      </c>
      <c r="D1389" t="inlineStr">
        <is>
          <t>VÄSTRA GÖTALANDS LÄN</t>
        </is>
      </c>
      <c r="E1389" t="inlineStr">
        <is>
          <t>HERRLJUNGA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71907-2021</t>
        </is>
      </c>
      <c r="B1390" s="1" t="n">
        <v>44543</v>
      </c>
      <c r="C1390" s="1" t="n">
        <v>46011</v>
      </c>
      <c r="D1390" t="inlineStr">
        <is>
          <t>VÄSTRA GÖTALANDS LÄN</t>
        </is>
      </c>
      <c r="E1390" t="inlineStr">
        <is>
          <t>SKÖVDE</t>
        </is>
      </c>
      <c r="F1390" t="inlineStr">
        <is>
          <t>Naturvårdsverket</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72617-2021</t>
        </is>
      </c>
      <c r="B1391" s="1" t="n">
        <v>44546.54055555556</v>
      </c>
      <c r="C1391" s="1" t="n">
        <v>46011</v>
      </c>
      <c r="D1391" t="inlineStr">
        <is>
          <t>VÄSTRA GÖTALANDS LÄN</t>
        </is>
      </c>
      <c r="E1391" t="inlineStr">
        <is>
          <t>MELLERUD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6783-2022</t>
        </is>
      </c>
      <c r="B1392" s="1" t="n">
        <v>44602</v>
      </c>
      <c r="C1392" s="1" t="n">
        <v>46011</v>
      </c>
      <c r="D1392" t="inlineStr">
        <is>
          <t>VÄSTRA GÖTALANDS LÄN</t>
        </is>
      </c>
      <c r="E1392" t="inlineStr">
        <is>
          <t>FALKÖPING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13583-2021</t>
        </is>
      </c>
      <c r="B1393" s="1" t="n">
        <v>44274</v>
      </c>
      <c r="C1393" s="1" t="n">
        <v>46011</v>
      </c>
      <c r="D1393" t="inlineStr">
        <is>
          <t>VÄSTRA GÖTALANDS LÄN</t>
        </is>
      </c>
      <c r="E1393" t="inlineStr">
        <is>
          <t>BENGTSFORS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19341-2022</t>
        </is>
      </c>
      <c r="B1394" s="1" t="n">
        <v>44692</v>
      </c>
      <c r="C1394" s="1" t="n">
        <v>46011</v>
      </c>
      <c r="D1394" t="inlineStr">
        <is>
          <t>VÄSTRA GÖTALANDS LÄN</t>
        </is>
      </c>
      <c r="E1394" t="inlineStr">
        <is>
          <t>HJO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51864-2021</t>
        </is>
      </c>
      <c r="B1395" s="1" t="n">
        <v>44462.72489583334</v>
      </c>
      <c r="C1395" s="1" t="n">
        <v>46011</v>
      </c>
      <c r="D1395" t="inlineStr">
        <is>
          <t>VÄSTRA GÖTALANDS LÄN</t>
        </is>
      </c>
      <c r="E1395" t="inlineStr">
        <is>
          <t>BORÅS</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60963-2021</t>
        </is>
      </c>
      <c r="B1396" s="1" t="n">
        <v>44497</v>
      </c>
      <c r="C1396" s="1" t="n">
        <v>46011</v>
      </c>
      <c r="D1396" t="inlineStr">
        <is>
          <t>VÄSTRA GÖTALANDS LÄN</t>
        </is>
      </c>
      <c r="E1396" t="inlineStr">
        <is>
          <t>MARK</t>
        </is>
      </c>
      <c r="F1396" t="inlineStr">
        <is>
          <t>Kyrkan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30285-2022</t>
        </is>
      </c>
      <c r="B1397" s="1" t="n">
        <v>44760</v>
      </c>
      <c r="C1397" s="1" t="n">
        <v>46011</v>
      </c>
      <c r="D1397" t="inlineStr">
        <is>
          <t>VÄSTRA GÖTALANDS LÄN</t>
        </is>
      </c>
      <c r="E1397" t="inlineStr">
        <is>
          <t>LILLA EDET</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54967-2022</t>
        </is>
      </c>
      <c r="B1398" s="1" t="n">
        <v>44886.4831712963</v>
      </c>
      <c r="C1398" s="1" t="n">
        <v>46011</v>
      </c>
      <c r="D1398" t="inlineStr">
        <is>
          <t>VÄSTRA GÖTALANDS LÄN</t>
        </is>
      </c>
      <c r="E1398" t="inlineStr">
        <is>
          <t>SOTENÄS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22300-2022</t>
        </is>
      </c>
      <c r="B1399" s="1" t="n">
        <v>44712</v>
      </c>
      <c r="C1399" s="1" t="n">
        <v>46011</v>
      </c>
      <c r="D1399" t="inlineStr">
        <is>
          <t>VÄSTRA GÖTALANDS LÄN</t>
        </is>
      </c>
      <c r="E1399" t="inlineStr">
        <is>
          <t>LERUM</t>
        </is>
      </c>
      <c r="G1399" t="n">
        <v>23.3</v>
      </c>
      <c r="H1399" t="n">
        <v>0</v>
      </c>
      <c r="I1399" t="n">
        <v>0</v>
      </c>
      <c r="J1399" t="n">
        <v>0</v>
      </c>
      <c r="K1399" t="n">
        <v>0</v>
      </c>
      <c r="L1399" t="n">
        <v>0</v>
      </c>
      <c r="M1399" t="n">
        <v>0</v>
      </c>
      <c r="N1399" t="n">
        <v>0</v>
      </c>
      <c r="O1399" t="n">
        <v>0</v>
      </c>
      <c r="P1399" t="n">
        <v>0</v>
      </c>
      <c r="Q1399" t="n">
        <v>0</v>
      </c>
      <c r="R1399" s="2" t="inlineStr"/>
    </row>
    <row r="1400" ht="15" customHeight="1">
      <c r="A1400" t="inlineStr">
        <is>
          <t>A 11719-2021</t>
        </is>
      </c>
      <c r="B1400" s="1" t="n">
        <v>44265</v>
      </c>
      <c r="C1400" s="1" t="n">
        <v>46011</v>
      </c>
      <c r="D1400" t="inlineStr">
        <is>
          <t>VÄSTRA GÖTALANDS LÄN</t>
        </is>
      </c>
      <c r="E1400" t="inlineStr">
        <is>
          <t>GULLSPÅNG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20372-2021</t>
        </is>
      </c>
      <c r="B1401" s="1" t="n">
        <v>44315.46325231482</v>
      </c>
      <c r="C1401" s="1" t="n">
        <v>46011</v>
      </c>
      <c r="D1401" t="inlineStr">
        <is>
          <t>VÄSTRA GÖTALANDS LÄN</t>
        </is>
      </c>
      <c r="E1401" t="inlineStr">
        <is>
          <t>KARLSBORG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19836-2022</t>
        </is>
      </c>
      <c r="B1402" s="1" t="n">
        <v>44696</v>
      </c>
      <c r="C1402" s="1" t="n">
        <v>46011</v>
      </c>
      <c r="D1402" t="inlineStr">
        <is>
          <t>VÄSTRA GÖTALANDS LÄN</t>
        </is>
      </c>
      <c r="E1402" t="inlineStr">
        <is>
          <t>MARK</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19937-2021</t>
        </is>
      </c>
      <c r="B1403" s="1" t="n">
        <v>44313</v>
      </c>
      <c r="C1403" s="1" t="n">
        <v>46011</v>
      </c>
      <c r="D1403" t="inlineStr">
        <is>
          <t>VÄSTRA GÖTALANDS LÄN</t>
        </is>
      </c>
      <c r="E1403" t="inlineStr">
        <is>
          <t>HERRLJUNGA</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19945-2021</t>
        </is>
      </c>
      <c r="B1404" s="1" t="n">
        <v>44313.61476851852</v>
      </c>
      <c r="C1404" s="1" t="n">
        <v>46011</v>
      </c>
      <c r="D1404" t="inlineStr">
        <is>
          <t>VÄSTRA GÖTALANDS LÄN</t>
        </is>
      </c>
      <c r="E1404" t="inlineStr">
        <is>
          <t>ULRICEHAMN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47879-2021</t>
        </is>
      </c>
      <c r="B1405" s="1" t="n">
        <v>44448.71143518519</v>
      </c>
      <c r="C1405" s="1" t="n">
        <v>46011</v>
      </c>
      <c r="D1405" t="inlineStr">
        <is>
          <t>VÄSTRA GÖTALANDS LÄN</t>
        </is>
      </c>
      <c r="E1405" t="inlineStr">
        <is>
          <t>TRANEMO</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47885-2021</t>
        </is>
      </c>
      <c r="B1406" s="1" t="n">
        <v>44448</v>
      </c>
      <c r="C1406" s="1" t="n">
        <v>46011</v>
      </c>
      <c r="D1406" t="inlineStr">
        <is>
          <t>VÄSTRA GÖTALANDS LÄN</t>
        </is>
      </c>
      <c r="E1406" t="inlineStr">
        <is>
          <t>ORUST</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3708-2021</t>
        </is>
      </c>
      <c r="B1407" s="1" t="n">
        <v>44221</v>
      </c>
      <c r="C1407" s="1" t="n">
        <v>46011</v>
      </c>
      <c r="D1407" t="inlineStr">
        <is>
          <t>VÄSTRA GÖTALANDS LÄN</t>
        </is>
      </c>
      <c r="E1407" t="inlineStr">
        <is>
          <t>KARLSBORG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68727-2021</t>
        </is>
      </c>
      <c r="B1408" s="1" t="n">
        <v>44529</v>
      </c>
      <c r="C1408" s="1" t="n">
        <v>46011</v>
      </c>
      <c r="D1408" t="inlineStr">
        <is>
          <t>VÄSTRA GÖTALANDS LÄN</t>
        </is>
      </c>
      <c r="E1408" t="inlineStr">
        <is>
          <t>ORUST</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20737-2022</t>
        </is>
      </c>
      <c r="B1409" s="1" t="n">
        <v>44701.27262731481</v>
      </c>
      <c r="C1409" s="1" t="n">
        <v>46011</v>
      </c>
      <c r="D1409" t="inlineStr">
        <is>
          <t>VÄSTRA GÖTALANDS LÄN</t>
        </is>
      </c>
      <c r="E1409" t="inlineStr">
        <is>
          <t>TROLLHÄTTAN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47096-2022</t>
        </is>
      </c>
      <c r="B1410" s="1" t="n">
        <v>44852.47015046296</v>
      </c>
      <c r="C1410" s="1" t="n">
        <v>46011</v>
      </c>
      <c r="D1410" t="inlineStr">
        <is>
          <t>VÄSTRA GÖTALANDS LÄN</t>
        </is>
      </c>
      <c r="E1410" t="inlineStr">
        <is>
          <t>TRANEMO</t>
        </is>
      </c>
      <c r="F1410" t="inlineStr">
        <is>
          <t>Kyrkan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36451-2022</t>
        </is>
      </c>
      <c r="B1411" s="1" t="n">
        <v>44804</v>
      </c>
      <c r="C1411" s="1" t="n">
        <v>46011</v>
      </c>
      <c r="D1411" t="inlineStr">
        <is>
          <t>VÄSTRA GÖTALANDS LÄN</t>
        </is>
      </c>
      <c r="E1411" t="inlineStr">
        <is>
          <t>MELLERUD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50559-2022</t>
        </is>
      </c>
      <c r="B1412" s="1" t="n">
        <v>44866.6278587963</v>
      </c>
      <c r="C1412" s="1" t="n">
        <v>46011</v>
      </c>
      <c r="D1412" t="inlineStr">
        <is>
          <t>VÄSTRA GÖTALANDS LÄN</t>
        </is>
      </c>
      <c r="E1412" t="inlineStr">
        <is>
          <t>HJO</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14250-2021</t>
        </is>
      </c>
      <c r="B1413" s="1" t="n">
        <v>44278</v>
      </c>
      <c r="C1413" s="1" t="n">
        <v>46011</v>
      </c>
      <c r="D1413" t="inlineStr">
        <is>
          <t>VÄSTRA GÖTALANDS LÄN</t>
        </is>
      </c>
      <c r="E1413" t="inlineStr">
        <is>
          <t>GULLSPÅNG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46657-2021</t>
        </is>
      </c>
      <c r="B1414" s="1" t="n">
        <v>44445</v>
      </c>
      <c r="C1414" s="1" t="n">
        <v>46011</v>
      </c>
      <c r="D1414" t="inlineStr">
        <is>
          <t>VÄSTRA GÖTALANDS LÄN</t>
        </is>
      </c>
      <c r="E1414" t="inlineStr">
        <is>
          <t>FÄRGELANDA</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27286-2021</t>
        </is>
      </c>
      <c r="B1415" s="1" t="n">
        <v>44351</v>
      </c>
      <c r="C1415" s="1" t="n">
        <v>46011</v>
      </c>
      <c r="D1415" t="inlineStr">
        <is>
          <t>VÄSTRA GÖTALANDS LÄN</t>
        </is>
      </c>
      <c r="E1415" t="inlineStr">
        <is>
          <t>TIBRO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61223-2021</t>
        </is>
      </c>
      <c r="B1416" s="1" t="n">
        <v>44496</v>
      </c>
      <c r="C1416" s="1" t="n">
        <v>46011</v>
      </c>
      <c r="D1416" t="inlineStr">
        <is>
          <t>VÄSTRA GÖTALANDS LÄN</t>
        </is>
      </c>
      <c r="E1416" t="inlineStr">
        <is>
          <t>KARLSBORG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65804-2021</t>
        </is>
      </c>
      <c r="B1417" s="1" t="n">
        <v>44516</v>
      </c>
      <c r="C1417" s="1" t="n">
        <v>46011</v>
      </c>
      <c r="D1417" t="inlineStr">
        <is>
          <t>VÄSTRA GÖTALANDS LÄN</t>
        </is>
      </c>
      <c r="E1417" t="inlineStr">
        <is>
          <t>SKÖVDE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59108-2021</t>
        </is>
      </c>
      <c r="B1418" s="1" t="n">
        <v>44490.43342592593</v>
      </c>
      <c r="C1418" s="1" t="n">
        <v>46011</v>
      </c>
      <c r="D1418" t="inlineStr">
        <is>
          <t>VÄSTRA GÖTALANDS LÄN</t>
        </is>
      </c>
      <c r="E1418" t="inlineStr">
        <is>
          <t>GÖTENE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59113-2021</t>
        </is>
      </c>
      <c r="B1419" s="1" t="n">
        <v>44490.43729166667</v>
      </c>
      <c r="C1419" s="1" t="n">
        <v>46011</v>
      </c>
      <c r="D1419" t="inlineStr">
        <is>
          <t>VÄSTRA GÖTALANDS LÄN</t>
        </is>
      </c>
      <c r="E1419" t="inlineStr">
        <is>
          <t>FALKÖPING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32706-2021</t>
        </is>
      </c>
      <c r="B1420" s="1" t="n">
        <v>44375.48074074074</v>
      </c>
      <c r="C1420" s="1" t="n">
        <v>46011</v>
      </c>
      <c r="D1420" t="inlineStr">
        <is>
          <t>VÄSTRA GÖTALANDS LÄN</t>
        </is>
      </c>
      <c r="E1420" t="inlineStr">
        <is>
          <t>SVENLJUNGA</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66603-2021</t>
        </is>
      </c>
      <c r="B1421" s="1" t="n">
        <v>44519.47723379629</v>
      </c>
      <c r="C1421" s="1" t="n">
        <v>46011</v>
      </c>
      <c r="D1421" t="inlineStr">
        <is>
          <t>VÄSTRA GÖTALANDS LÄN</t>
        </is>
      </c>
      <c r="E1421" t="inlineStr">
        <is>
          <t>GULLSPÅNG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51442-2022</t>
        </is>
      </c>
      <c r="B1422" s="1" t="n">
        <v>44869</v>
      </c>
      <c r="C1422" s="1" t="n">
        <v>46011</v>
      </c>
      <c r="D1422" t="inlineStr">
        <is>
          <t>VÄSTRA GÖTALANDS LÄN</t>
        </is>
      </c>
      <c r="E1422" t="inlineStr">
        <is>
          <t>MARK</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65995-2021</t>
        </is>
      </c>
      <c r="B1423" s="1" t="n">
        <v>44517.55771990741</v>
      </c>
      <c r="C1423" s="1" t="n">
        <v>46011</v>
      </c>
      <c r="D1423" t="inlineStr">
        <is>
          <t>VÄSTRA GÖTALANDS LÄN</t>
        </is>
      </c>
      <c r="E1423" t="inlineStr">
        <is>
          <t>SVENLJUNGA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70162-2021</t>
        </is>
      </c>
      <c r="B1424" s="1" t="n">
        <v>44533</v>
      </c>
      <c r="C1424" s="1" t="n">
        <v>46011</v>
      </c>
      <c r="D1424" t="inlineStr">
        <is>
          <t>VÄSTRA GÖTALANDS LÄN</t>
        </is>
      </c>
      <c r="E1424" t="inlineStr">
        <is>
          <t>STRÖMSTAD</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31015-2021</t>
        </is>
      </c>
      <c r="B1425" s="1" t="n">
        <v>44367</v>
      </c>
      <c r="C1425" s="1" t="n">
        <v>46011</v>
      </c>
      <c r="D1425" t="inlineStr">
        <is>
          <t>VÄSTRA GÖTALANDS LÄN</t>
        </is>
      </c>
      <c r="E1425" t="inlineStr">
        <is>
          <t>BENGTSFORS</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28632-2021</t>
        </is>
      </c>
      <c r="B1426" s="1" t="n">
        <v>44357.31700231481</v>
      </c>
      <c r="C1426" s="1" t="n">
        <v>46011</v>
      </c>
      <c r="D1426" t="inlineStr">
        <is>
          <t>VÄSTRA GÖTALANDS LÄN</t>
        </is>
      </c>
      <c r="E1426" t="inlineStr">
        <is>
          <t>SKARA</t>
        </is>
      </c>
      <c r="G1426" t="n">
        <v>13.4</v>
      </c>
      <c r="H1426" t="n">
        <v>0</v>
      </c>
      <c r="I1426" t="n">
        <v>0</v>
      </c>
      <c r="J1426" t="n">
        <v>0</v>
      </c>
      <c r="K1426" t="n">
        <v>0</v>
      </c>
      <c r="L1426" t="n">
        <v>0</v>
      </c>
      <c r="M1426" t="n">
        <v>0</v>
      </c>
      <c r="N1426" t="n">
        <v>0</v>
      </c>
      <c r="O1426" t="n">
        <v>0</v>
      </c>
      <c r="P1426" t="n">
        <v>0</v>
      </c>
      <c r="Q1426" t="n">
        <v>0</v>
      </c>
      <c r="R1426" s="2" t="inlineStr"/>
    </row>
    <row r="1427" ht="15" customHeight="1">
      <c r="A1427" t="inlineStr">
        <is>
          <t>A 6251-2022</t>
        </is>
      </c>
      <c r="B1427" s="1" t="n">
        <v>44600.44402777778</v>
      </c>
      <c r="C1427" s="1" t="n">
        <v>46011</v>
      </c>
      <c r="D1427" t="inlineStr">
        <is>
          <t>VÄSTRA GÖTALANDS LÄN</t>
        </is>
      </c>
      <c r="E1427" t="inlineStr">
        <is>
          <t>SKARA</t>
        </is>
      </c>
      <c r="F1427" t="inlineStr">
        <is>
          <t>Sveaskog</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60439-2021</t>
        </is>
      </c>
      <c r="B1428" s="1" t="n">
        <v>44496</v>
      </c>
      <c r="C1428" s="1" t="n">
        <v>46011</v>
      </c>
      <c r="D1428" t="inlineStr">
        <is>
          <t>VÄSTRA GÖTALANDS LÄN</t>
        </is>
      </c>
      <c r="E1428" t="inlineStr">
        <is>
          <t>SVENLJUNGA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38015-2021</t>
        </is>
      </c>
      <c r="B1429" s="1" t="n">
        <v>44404.55339120371</v>
      </c>
      <c r="C1429" s="1" t="n">
        <v>46011</v>
      </c>
      <c r="D1429" t="inlineStr">
        <is>
          <t>VÄSTRA GÖTALANDS LÄN</t>
        </is>
      </c>
      <c r="E1429" t="inlineStr">
        <is>
          <t>ÅMÅL</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45379-2022</t>
        </is>
      </c>
      <c r="B1430" s="1" t="n">
        <v>44844.66291666667</v>
      </c>
      <c r="C1430" s="1" t="n">
        <v>46011</v>
      </c>
      <c r="D1430" t="inlineStr">
        <is>
          <t>VÄSTRA GÖTALANDS LÄN</t>
        </is>
      </c>
      <c r="E1430" t="inlineStr">
        <is>
          <t>SKÖVDE</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24283-2021</t>
        </is>
      </c>
      <c r="B1431" s="1" t="n">
        <v>44337</v>
      </c>
      <c r="C1431" s="1" t="n">
        <v>46011</v>
      </c>
      <c r="D1431" t="inlineStr">
        <is>
          <t>VÄSTRA GÖTALANDS LÄN</t>
        </is>
      </c>
      <c r="E1431" t="inlineStr">
        <is>
          <t>UDDEVALLA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61618-2021</t>
        </is>
      </c>
      <c r="B1432" s="1" t="n">
        <v>44501.48246527778</v>
      </c>
      <c r="C1432" s="1" t="n">
        <v>46011</v>
      </c>
      <c r="D1432" t="inlineStr">
        <is>
          <t>VÄSTRA GÖTALANDS LÄN</t>
        </is>
      </c>
      <c r="E1432" t="inlineStr">
        <is>
          <t>TANUM</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55480-2022</t>
        </is>
      </c>
      <c r="B1433" s="1" t="n">
        <v>44887.67539351852</v>
      </c>
      <c r="C1433" s="1" t="n">
        <v>46011</v>
      </c>
      <c r="D1433" t="inlineStr">
        <is>
          <t>VÄSTRA GÖTALANDS LÄN</t>
        </is>
      </c>
      <c r="E1433" t="inlineStr">
        <is>
          <t>TROLLHÄTTAN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15175-2022</t>
        </is>
      </c>
      <c r="B1434" s="1" t="n">
        <v>44658</v>
      </c>
      <c r="C1434" s="1" t="n">
        <v>46011</v>
      </c>
      <c r="D1434" t="inlineStr">
        <is>
          <t>VÄSTRA GÖTALANDS LÄN</t>
        </is>
      </c>
      <c r="E1434" t="inlineStr">
        <is>
          <t>FÄRGELANDA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6005-2022</t>
        </is>
      </c>
      <c r="B1435" s="1" t="n">
        <v>44599</v>
      </c>
      <c r="C1435" s="1" t="n">
        <v>46011</v>
      </c>
      <c r="D1435" t="inlineStr">
        <is>
          <t>VÄSTRA GÖTALANDS LÄN</t>
        </is>
      </c>
      <c r="E1435" t="inlineStr">
        <is>
          <t>TRANEMO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26088-2022</t>
        </is>
      </c>
      <c r="B1436" s="1" t="n">
        <v>44734</v>
      </c>
      <c r="C1436" s="1" t="n">
        <v>46011</v>
      </c>
      <c r="D1436" t="inlineStr">
        <is>
          <t>VÄSTRA GÖTALANDS LÄN</t>
        </is>
      </c>
      <c r="E1436" t="inlineStr">
        <is>
          <t>BORÅS</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36789-2021</t>
        </is>
      </c>
      <c r="B1437" s="1" t="n">
        <v>44392.69578703704</v>
      </c>
      <c r="C1437" s="1" t="n">
        <v>46011</v>
      </c>
      <c r="D1437" t="inlineStr">
        <is>
          <t>VÄSTRA GÖTALANDS LÄN</t>
        </is>
      </c>
      <c r="E1437" t="inlineStr">
        <is>
          <t>TANUM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30791-2022</t>
        </is>
      </c>
      <c r="B1438" s="1" t="n">
        <v>44764</v>
      </c>
      <c r="C1438" s="1" t="n">
        <v>46011</v>
      </c>
      <c r="D1438" t="inlineStr">
        <is>
          <t>VÄSTRA GÖTALANDS LÄN</t>
        </is>
      </c>
      <c r="E1438" t="inlineStr">
        <is>
          <t>MARK</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7454-2022</t>
        </is>
      </c>
      <c r="B1439" s="1" t="n">
        <v>44607.34648148148</v>
      </c>
      <c r="C1439" s="1" t="n">
        <v>46011</v>
      </c>
      <c r="D1439" t="inlineStr">
        <is>
          <t>VÄSTRA GÖTALANDS LÄN</t>
        </is>
      </c>
      <c r="E1439" t="inlineStr">
        <is>
          <t>MARK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20272-2021</t>
        </is>
      </c>
      <c r="B1440" s="1" t="n">
        <v>44314</v>
      </c>
      <c r="C1440" s="1" t="n">
        <v>46011</v>
      </c>
      <c r="D1440" t="inlineStr">
        <is>
          <t>VÄSTRA GÖTALANDS LÄN</t>
        </is>
      </c>
      <c r="E1440" t="inlineStr">
        <is>
          <t>VÅRGÅRDA</t>
        </is>
      </c>
      <c r="F1440" t="inlineStr">
        <is>
          <t>Kyrkan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3708-2022</t>
        </is>
      </c>
      <c r="B1441" s="1" t="n">
        <v>44586</v>
      </c>
      <c r="C1441" s="1" t="n">
        <v>46011</v>
      </c>
      <c r="D1441" t="inlineStr">
        <is>
          <t>VÄSTRA GÖTALANDS LÄN</t>
        </is>
      </c>
      <c r="E1441" t="inlineStr">
        <is>
          <t>GÖTENE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20048-2021</t>
        </is>
      </c>
      <c r="B1442" s="1" t="n">
        <v>44313</v>
      </c>
      <c r="C1442" s="1" t="n">
        <v>46011</v>
      </c>
      <c r="D1442" t="inlineStr">
        <is>
          <t>VÄSTRA GÖTALANDS LÄN</t>
        </is>
      </c>
      <c r="E1442" t="inlineStr">
        <is>
          <t>TANUM</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14549-2022</t>
        </is>
      </c>
      <c r="B1443" s="1" t="n">
        <v>44655</v>
      </c>
      <c r="C1443" s="1" t="n">
        <v>46011</v>
      </c>
      <c r="D1443" t="inlineStr">
        <is>
          <t>VÄSTRA GÖTALANDS LÄN</t>
        </is>
      </c>
      <c r="E1443" t="inlineStr">
        <is>
          <t>ULRICEHAMN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73587-2021</t>
        </is>
      </c>
      <c r="B1444" s="1" t="n">
        <v>44552</v>
      </c>
      <c r="C1444" s="1" t="n">
        <v>46011</v>
      </c>
      <c r="D1444" t="inlineStr">
        <is>
          <t>VÄSTRA GÖTALANDS LÄN</t>
        </is>
      </c>
      <c r="E1444" t="inlineStr">
        <is>
          <t>BENGTSFORS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8964-2022</t>
        </is>
      </c>
      <c r="B1445" s="1" t="n">
        <v>44614.89628472222</v>
      </c>
      <c r="C1445" s="1" t="n">
        <v>46011</v>
      </c>
      <c r="D1445" t="inlineStr">
        <is>
          <t>VÄSTRA GÖTALANDS LÄN</t>
        </is>
      </c>
      <c r="E1445" t="inlineStr">
        <is>
          <t>SVENLJUNGA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65674-2021</t>
        </is>
      </c>
      <c r="B1446" s="1" t="n">
        <v>44516</v>
      </c>
      <c r="C1446" s="1" t="n">
        <v>46011</v>
      </c>
      <c r="D1446" t="inlineStr">
        <is>
          <t>VÄSTRA GÖTALANDS LÄN</t>
        </is>
      </c>
      <c r="E1446" t="inlineStr">
        <is>
          <t>BENGTSFORS</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46687-2022</t>
        </is>
      </c>
      <c r="B1447" s="1" t="n">
        <v>44851</v>
      </c>
      <c r="C1447" s="1" t="n">
        <v>46011</v>
      </c>
      <c r="D1447" t="inlineStr">
        <is>
          <t>VÄSTRA GÖTALANDS LÄN</t>
        </is>
      </c>
      <c r="E1447" t="inlineStr">
        <is>
          <t>TRANEMO</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23024-2022</t>
        </is>
      </c>
      <c r="B1448" s="1" t="n">
        <v>44719.38436342592</v>
      </c>
      <c r="C1448" s="1" t="n">
        <v>46011</v>
      </c>
      <c r="D1448" t="inlineStr">
        <is>
          <t>VÄSTRA GÖTALANDS LÄN</t>
        </is>
      </c>
      <c r="E1448" t="inlineStr">
        <is>
          <t>TÖREBODA</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21021-2021</t>
        </is>
      </c>
      <c r="B1449" s="1" t="n">
        <v>44319.62640046296</v>
      </c>
      <c r="C1449" s="1" t="n">
        <v>46011</v>
      </c>
      <c r="D1449" t="inlineStr">
        <is>
          <t>VÄSTRA GÖTALANDS LÄN</t>
        </is>
      </c>
      <c r="E1449" t="inlineStr">
        <is>
          <t>LILLA EDET</t>
        </is>
      </c>
      <c r="G1449" t="n">
        <v>13.5</v>
      </c>
      <c r="H1449" t="n">
        <v>0</v>
      </c>
      <c r="I1449" t="n">
        <v>0</v>
      </c>
      <c r="J1449" t="n">
        <v>0</v>
      </c>
      <c r="K1449" t="n">
        <v>0</v>
      </c>
      <c r="L1449" t="n">
        <v>0</v>
      </c>
      <c r="M1449" t="n">
        <v>0</v>
      </c>
      <c r="N1449" t="n">
        <v>0</v>
      </c>
      <c r="O1449" t="n">
        <v>0</v>
      </c>
      <c r="P1449" t="n">
        <v>0</v>
      </c>
      <c r="Q1449" t="n">
        <v>0</v>
      </c>
      <c r="R1449" s="2" t="inlineStr"/>
    </row>
    <row r="1450" ht="15" customHeight="1">
      <c r="A1450" t="inlineStr">
        <is>
          <t>A 43661-2022</t>
        </is>
      </c>
      <c r="B1450" s="1" t="n">
        <v>44837</v>
      </c>
      <c r="C1450" s="1" t="n">
        <v>46011</v>
      </c>
      <c r="D1450" t="inlineStr">
        <is>
          <t>VÄSTRA GÖTALANDS LÄN</t>
        </is>
      </c>
      <c r="E1450" t="inlineStr">
        <is>
          <t>BORÅS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25940-2022</t>
        </is>
      </c>
      <c r="B1451" s="1" t="n">
        <v>44734.40373842593</v>
      </c>
      <c r="C1451" s="1" t="n">
        <v>46011</v>
      </c>
      <c r="D1451" t="inlineStr">
        <is>
          <t>VÄSTRA GÖTALANDS LÄN</t>
        </is>
      </c>
      <c r="E1451" t="inlineStr">
        <is>
          <t>TRANEMO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8915-2022</t>
        </is>
      </c>
      <c r="B1452" s="1" t="n">
        <v>44614</v>
      </c>
      <c r="C1452" s="1" t="n">
        <v>46011</v>
      </c>
      <c r="D1452" t="inlineStr">
        <is>
          <t>VÄSTRA GÖTALANDS LÄN</t>
        </is>
      </c>
      <c r="E1452" t="inlineStr">
        <is>
          <t>TÖREBODA</t>
        </is>
      </c>
      <c r="F1452" t="inlineStr">
        <is>
          <t>Kyrkan</t>
        </is>
      </c>
      <c r="G1452" t="n">
        <v>18.4</v>
      </c>
      <c r="H1452" t="n">
        <v>0</v>
      </c>
      <c r="I1452" t="n">
        <v>0</v>
      </c>
      <c r="J1452" t="n">
        <v>0</v>
      </c>
      <c r="K1452" t="n">
        <v>0</v>
      </c>
      <c r="L1452" t="n">
        <v>0</v>
      </c>
      <c r="M1452" t="n">
        <v>0</v>
      </c>
      <c r="N1452" t="n">
        <v>0</v>
      </c>
      <c r="O1452" t="n">
        <v>0</v>
      </c>
      <c r="P1452" t="n">
        <v>0</v>
      </c>
      <c r="Q1452" t="n">
        <v>0</v>
      </c>
      <c r="R1452" s="2" t="inlineStr"/>
    </row>
    <row r="1453" ht="15" customHeight="1">
      <c r="A1453" t="inlineStr">
        <is>
          <t>A 25428-2021</t>
        </is>
      </c>
      <c r="B1453" s="1" t="n">
        <v>44342</v>
      </c>
      <c r="C1453" s="1" t="n">
        <v>46011</v>
      </c>
      <c r="D1453" t="inlineStr">
        <is>
          <t>VÄSTRA GÖTALANDS LÄN</t>
        </is>
      </c>
      <c r="E1453" t="inlineStr">
        <is>
          <t>GULLSPÅNG</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22771-2021</t>
        </is>
      </c>
      <c r="B1454" s="1" t="n">
        <v>44327</v>
      </c>
      <c r="C1454" s="1" t="n">
        <v>46011</v>
      </c>
      <c r="D1454" t="inlineStr">
        <is>
          <t>VÄSTRA GÖTALANDS LÄN</t>
        </is>
      </c>
      <c r="E1454" t="inlineStr">
        <is>
          <t>TANUM</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34383-2022</t>
        </is>
      </c>
      <c r="B1455" s="1" t="n">
        <v>44792</v>
      </c>
      <c r="C1455" s="1" t="n">
        <v>46011</v>
      </c>
      <c r="D1455" t="inlineStr">
        <is>
          <t>VÄSTRA GÖTALANDS LÄN</t>
        </is>
      </c>
      <c r="E1455" t="inlineStr">
        <is>
          <t>VÄNERSBORG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20681-2022</t>
        </is>
      </c>
      <c r="B1456" s="1" t="n">
        <v>44700.68586805555</v>
      </c>
      <c r="C1456" s="1" t="n">
        <v>46011</v>
      </c>
      <c r="D1456" t="inlineStr">
        <is>
          <t>VÄSTRA GÖTALANDS LÄN</t>
        </is>
      </c>
      <c r="E1456" t="inlineStr">
        <is>
          <t>LERUM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52537-2022</t>
        </is>
      </c>
      <c r="B1457" s="1" t="n">
        <v>44874</v>
      </c>
      <c r="C1457" s="1" t="n">
        <v>46011</v>
      </c>
      <c r="D1457" t="inlineStr">
        <is>
          <t>VÄSTRA GÖTALANDS LÄN</t>
        </is>
      </c>
      <c r="E1457" t="inlineStr">
        <is>
          <t>SKARA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40201-2021</t>
        </is>
      </c>
      <c r="B1458" s="1" t="n">
        <v>44418</v>
      </c>
      <c r="C1458" s="1" t="n">
        <v>46011</v>
      </c>
      <c r="D1458" t="inlineStr">
        <is>
          <t>VÄSTRA GÖTALANDS LÄN</t>
        </is>
      </c>
      <c r="E1458" t="inlineStr">
        <is>
          <t>BOLLEBYGD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51292-2022</t>
        </is>
      </c>
      <c r="B1459" s="1" t="n">
        <v>44868.88850694444</v>
      </c>
      <c r="C1459" s="1" t="n">
        <v>46011</v>
      </c>
      <c r="D1459" t="inlineStr">
        <is>
          <t>VÄSTRA GÖTALANDS LÄN</t>
        </is>
      </c>
      <c r="E1459" t="inlineStr">
        <is>
          <t>ULRICEHAMN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48162-2022</t>
        </is>
      </c>
      <c r="B1460" s="1" t="n">
        <v>44858.36354166667</v>
      </c>
      <c r="C1460" s="1" t="n">
        <v>46011</v>
      </c>
      <c r="D1460" t="inlineStr">
        <is>
          <t>VÄSTRA GÖTALANDS LÄN</t>
        </is>
      </c>
      <c r="E1460" t="inlineStr">
        <is>
          <t>ULRICEHAMN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63200-2021</t>
        </is>
      </c>
      <c r="B1461" s="1" t="n">
        <v>44507.76953703703</v>
      </c>
      <c r="C1461" s="1" t="n">
        <v>46011</v>
      </c>
      <c r="D1461" t="inlineStr">
        <is>
          <t>VÄSTRA GÖTALANDS LÄN</t>
        </is>
      </c>
      <c r="E1461" t="inlineStr">
        <is>
          <t>GÖTENE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38067-2022</t>
        </is>
      </c>
      <c r="B1462" s="1" t="n">
        <v>44811</v>
      </c>
      <c r="C1462" s="1" t="n">
        <v>46011</v>
      </c>
      <c r="D1462" t="inlineStr">
        <is>
          <t>VÄSTRA GÖTALANDS LÄN</t>
        </is>
      </c>
      <c r="E1462" t="inlineStr">
        <is>
          <t>MARK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8786-2022</t>
        </is>
      </c>
      <c r="B1463" s="1" t="n">
        <v>44614</v>
      </c>
      <c r="C1463" s="1" t="n">
        <v>46011</v>
      </c>
      <c r="D1463" t="inlineStr">
        <is>
          <t>VÄSTRA GÖTALANDS LÄN</t>
        </is>
      </c>
      <c r="E1463" t="inlineStr">
        <is>
          <t>GÖTENE</t>
        </is>
      </c>
      <c r="F1463" t="inlineStr">
        <is>
          <t>Kyrkan</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12367-2022</t>
        </is>
      </c>
      <c r="B1464" s="1" t="n">
        <v>44637</v>
      </c>
      <c r="C1464" s="1" t="n">
        <v>46011</v>
      </c>
      <c r="D1464" t="inlineStr">
        <is>
          <t>VÄSTRA GÖTALANDS LÄN</t>
        </is>
      </c>
      <c r="E1464" t="inlineStr">
        <is>
          <t>BOLLEBYGD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8853-2022</t>
        </is>
      </c>
      <c r="B1465" s="1" t="n">
        <v>44614</v>
      </c>
      <c r="C1465" s="1" t="n">
        <v>46011</v>
      </c>
      <c r="D1465" t="inlineStr">
        <is>
          <t>VÄSTRA GÖTALANDS LÄN</t>
        </is>
      </c>
      <c r="E1465" t="inlineStr">
        <is>
          <t>MARIESTAD</t>
        </is>
      </c>
      <c r="F1465" t="inlineStr">
        <is>
          <t>Kyrkan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8858-2022</t>
        </is>
      </c>
      <c r="B1466" s="1" t="n">
        <v>44614</v>
      </c>
      <c r="C1466" s="1" t="n">
        <v>46011</v>
      </c>
      <c r="D1466" t="inlineStr">
        <is>
          <t>VÄSTRA GÖTALANDS LÄN</t>
        </is>
      </c>
      <c r="E1466" t="inlineStr">
        <is>
          <t>TÖREBODA</t>
        </is>
      </c>
      <c r="F1466" t="inlineStr">
        <is>
          <t>Kyrkan</t>
        </is>
      </c>
      <c r="G1466" t="n">
        <v>13.5</v>
      </c>
      <c r="H1466" t="n">
        <v>0</v>
      </c>
      <c r="I1466" t="n">
        <v>0</v>
      </c>
      <c r="J1466" t="n">
        <v>0</v>
      </c>
      <c r="K1466" t="n">
        <v>0</v>
      </c>
      <c r="L1466" t="n">
        <v>0</v>
      </c>
      <c r="M1466" t="n">
        <v>0</v>
      </c>
      <c r="N1466" t="n">
        <v>0</v>
      </c>
      <c r="O1466" t="n">
        <v>0</v>
      </c>
      <c r="P1466" t="n">
        <v>0</v>
      </c>
      <c r="Q1466" t="n">
        <v>0</v>
      </c>
      <c r="R1466" s="2" t="inlineStr"/>
    </row>
    <row r="1467" ht="15" customHeight="1">
      <c r="A1467" t="inlineStr">
        <is>
          <t>A 39299-2022</t>
        </is>
      </c>
      <c r="B1467" s="1" t="n">
        <v>44817</v>
      </c>
      <c r="C1467" s="1" t="n">
        <v>46011</v>
      </c>
      <c r="D1467" t="inlineStr">
        <is>
          <t>VÄSTRA GÖTALANDS LÄN</t>
        </is>
      </c>
      <c r="E1467" t="inlineStr">
        <is>
          <t>ALINGSÅS</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33822-2021</t>
        </is>
      </c>
      <c r="B1468" s="1" t="n">
        <v>44378</v>
      </c>
      <c r="C1468" s="1" t="n">
        <v>46011</v>
      </c>
      <c r="D1468" t="inlineStr">
        <is>
          <t>VÄSTRA GÖTALANDS LÄN</t>
        </is>
      </c>
      <c r="E1468" t="inlineStr">
        <is>
          <t>VARA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3642-2022</t>
        </is>
      </c>
      <c r="B1469" s="1" t="n">
        <v>44586</v>
      </c>
      <c r="C1469" s="1" t="n">
        <v>46011</v>
      </c>
      <c r="D1469" t="inlineStr">
        <is>
          <t>VÄSTRA GÖTALANDS LÄN</t>
        </is>
      </c>
      <c r="E1469" t="inlineStr">
        <is>
          <t>BORÅS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6591-2022</t>
        </is>
      </c>
      <c r="B1470" s="1" t="n">
        <v>44601.65090277778</v>
      </c>
      <c r="C1470" s="1" t="n">
        <v>46011</v>
      </c>
      <c r="D1470" t="inlineStr">
        <is>
          <t>VÄSTRA GÖTALANDS LÄN</t>
        </is>
      </c>
      <c r="E1470" t="inlineStr">
        <is>
          <t>TROLLHÄTTAN</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2797-2022</t>
        </is>
      </c>
      <c r="B1471" s="1" t="n">
        <v>44581.38011574074</v>
      </c>
      <c r="C1471" s="1" t="n">
        <v>46011</v>
      </c>
      <c r="D1471" t="inlineStr">
        <is>
          <t>VÄSTRA GÖTALANDS LÄN</t>
        </is>
      </c>
      <c r="E1471" t="inlineStr">
        <is>
          <t>MUNKEDAL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72632-2021</t>
        </is>
      </c>
      <c r="B1472" s="1" t="n">
        <v>44546.5565625</v>
      </c>
      <c r="C1472" s="1" t="n">
        <v>46011</v>
      </c>
      <c r="D1472" t="inlineStr">
        <is>
          <t>VÄSTRA GÖTALANDS LÄN</t>
        </is>
      </c>
      <c r="E1472" t="inlineStr">
        <is>
          <t>LIDKÖPING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6800-2022</t>
        </is>
      </c>
      <c r="B1473" s="1" t="n">
        <v>44602.57005787037</v>
      </c>
      <c r="C1473" s="1" t="n">
        <v>46011</v>
      </c>
      <c r="D1473" t="inlineStr">
        <is>
          <t>VÄSTRA GÖTALANDS LÄN</t>
        </is>
      </c>
      <c r="E1473" t="inlineStr">
        <is>
          <t>TIBRO</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29176-2021</t>
        </is>
      </c>
      <c r="B1474" s="1" t="n">
        <v>44358.70075231481</v>
      </c>
      <c r="C1474" s="1" t="n">
        <v>46011</v>
      </c>
      <c r="D1474" t="inlineStr">
        <is>
          <t>VÄSTRA GÖTALANDS LÄN</t>
        </is>
      </c>
      <c r="E1474" t="inlineStr">
        <is>
          <t>LERUM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34145-2021</t>
        </is>
      </c>
      <c r="B1475" s="1" t="n">
        <v>44379.47923611111</v>
      </c>
      <c r="C1475" s="1" t="n">
        <v>46011</v>
      </c>
      <c r="D1475" t="inlineStr">
        <is>
          <t>VÄSTRA GÖTALANDS LÄN</t>
        </is>
      </c>
      <c r="E1475" t="inlineStr">
        <is>
          <t>TÖREBODA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34179-2021</t>
        </is>
      </c>
      <c r="B1476" s="1" t="n">
        <v>44379</v>
      </c>
      <c r="C1476" s="1" t="n">
        <v>46011</v>
      </c>
      <c r="D1476" t="inlineStr">
        <is>
          <t>VÄSTRA GÖTALANDS LÄN</t>
        </is>
      </c>
      <c r="E1476" t="inlineStr">
        <is>
          <t>GULLSPÅNG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29287-2021</t>
        </is>
      </c>
      <c r="B1477" s="1" t="n">
        <v>44361.37475694445</v>
      </c>
      <c r="C1477" s="1" t="n">
        <v>46011</v>
      </c>
      <c r="D1477" t="inlineStr">
        <is>
          <t>VÄSTRA GÖTALANDS LÄN</t>
        </is>
      </c>
      <c r="E1477" t="inlineStr">
        <is>
          <t>SVENLJUNGA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21578-2021</t>
        </is>
      </c>
      <c r="B1478" s="1" t="n">
        <v>44321.65381944444</v>
      </c>
      <c r="C1478" s="1" t="n">
        <v>46011</v>
      </c>
      <c r="D1478" t="inlineStr">
        <is>
          <t>VÄSTRA GÖTALANDS LÄN</t>
        </is>
      </c>
      <c r="E1478" t="inlineStr">
        <is>
          <t>HÄRRYDA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6657-2022</t>
        </is>
      </c>
      <c r="B1479" s="1" t="n">
        <v>44602.34833333334</v>
      </c>
      <c r="C1479" s="1" t="n">
        <v>46011</v>
      </c>
      <c r="D1479" t="inlineStr">
        <is>
          <t>VÄSTRA GÖTALANDS LÄN</t>
        </is>
      </c>
      <c r="E1479" t="inlineStr">
        <is>
          <t>FÄRGELANDA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40430-2022</t>
        </is>
      </c>
      <c r="B1480" s="1" t="n">
        <v>44823</v>
      </c>
      <c r="C1480" s="1" t="n">
        <v>46011</v>
      </c>
      <c r="D1480" t="inlineStr">
        <is>
          <t>VÄSTRA GÖTALANDS LÄN</t>
        </is>
      </c>
      <c r="E1480" t="inlineStr">
        <is>
          <t>FALKÖPING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36394-2021</t>
        </is>
      </c>
      <c r="B1481" s="1" t="n">
        <v>44389</v>
      </c>
      <c r="C1481" s="1" t="n">
        <v>46011</v>
      </c>
      <c r="D1481" t="inlineStr">
        <is>
          <t>VÄSTRA GÖTALANDS LÄN</t>
        </is>
      </c>
      <c r="E1481" t="inlineStr">
        <is>
          <t>ALE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10328-2022</t>
        </is>
      </c>
      <c r="B1482" s="1" t="n">
        <v>44623</v>
      </c>
      <c r="C1482" s="1" t="n">
        <v>46011</v>
      </c>
      <c r="D1482" t="inlineStr">
        <is>
          <t>VÄSTRA GÖTALANDS LÄN</t>
        </is>
      </c>
      <c r="E1482" t="inlineStr">
        <is>
          <t>TIBRO</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16223-2022</t>
        </is>
      </c>
      <c r="B1483" s="1" t="n">
        <v>44670</v>
      </c>
      <c r="C1483" s="1" t="n">
        <v>46011</v>
      </c>
      <c r="D1483" t="inlineStr">
        <is>
          <t>VÄSTRA GÖTALANDS LÄN</t>
        </is>
      </c>
      <c r="E1483" t="inlineStr">
        <is>
          <t>TRANEMO</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37380-2022</t>
        </is>
      </c>
      <c r="B1484" s="1" t="n">
        <v>44809.40603009259</v>
      </c>
      <c r="C1484" s="1" t="n">
        <v>46011</v>
      </c>
      <c r="D1484" t="inlineStr">
        <is>
          <t>VÄSTRA GÖTALANDS LÄN</t>
        </is>
      </c>
      <c r="E1484" t="inlineStr">
        <is>
          <t>ULRICEHAMN</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22627-2022</t>
        </is>
      </c>
      <c r="B1485" s="1" t="n">
        <v>44714.43409722222</v>
      </c>
      <c r="C1485" s="1" t="n">
        <v>46011</v>
      </c>
      <c r="D1485" t="inlineStr">
        <is>
          <t>VÄSTRA GÖTALANDS LÄN</t>
        </is>
      </c>
      <c r="E1485" t="inlineStr">
        <is>
          <t>MARK</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6822-2022</t>
        </is>
      </c>
      <c r="B1486" s="1" t="n">
        <v>44602</v>
      </c>
      <c r="C1486" s="1" t="n">
        <v>46011</v>
      </c>
      <c r="D1486" t="inlineStr">
        <is>
          <t>VÄSTRA GÖTALANDS LÄN</t>
        </is>
      </c>
      <c r="E1486" t="inlineStr">
        <is>
          <t>TIBRO</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10337-2022</t>
        </is>
      </c>
      <c r="B1487" s="1" t="n">
        <v>44623</v>
      </c>
      <c r="C1487" s="1" t="n">
        <v>46011</v>
      </c>
      <c r="D1487" t="inlineStr">
        <is>
          <t>VÄSTRA GÖTALANDS LÄN</t>
        </is>
      </c>
      <c r="E1487" t="inlineStr">
        <is>
          <t>HJO</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38345-2021</t>
        </is>
      </c>
      <c r="B1488" s="1" t="n">
        <v>44406.50302083333</v>
      </c>
      <c r="C1488" s="1" t="n">
        <v>46011</v>
      </c>
      <c r="D1488" t="inlineStr">
        <is>
          <t>VÄSTRA GÖTALANDS LÄN</t>
        </is>
      </c>
      <c r="E1488" t="inlineStr">
        <is>
          <t>ESSUNGA</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49826-2022</t>
        </is>
      </c>
      <c r="B1489" s="1" t="n">
        <v>44862.736875</v>
      </c>
      <c r="C1489" s="1" t="n">
        <v>46011</v>
      </c>
      <c r="D1489" t="inlineStr">
        <is>
          <t>VÄSTRA GÖTALANDS LÄN</t>
        </is>
      </c>
      <c r="E1489" t="inlineStr">
        <is>
          <t>TANUM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40932-2022</t>
        </is>
      </c>
      <c r="B1490" s="1" t="n">
        <v>44823</v>
      </c>
      <c r="C1490" s="1" t="n">
        <v>46011</v>
      </c>
      <c r="D1490" t="inlineStr">
        <is>
          <t>VÄSTRA GÖTALANDS LÄN</t>
        </is>
      </c>
      <c r="E1490" t="inlineStr">
        <is>
          <t>ULRICEHAMN</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10791-2022</t>
        </is>
      </c>
      <c r="B1491" s="1" t="n">
        <v>44627</v>
      </c>
      <c r="C1491" s="1" t="n">
        <v>46011</v>
      </c>
      <c r="D1491" t="inlineStr">
        <is>
          <t>VÄSTRA GÖTALANDS LÄN</t>
        </is>
      </c>
      <c r="E1491" t="inlineStr">
        <is>
          <t>LIDKÖPING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10811-2022</t>
        </is>
      </c>
      <c r="B1492" s="1" t="n">
        <v>44627.49730324074</v>
      </c>
      <c r="C1492" s="1" t="n">
        <v>46011</v>
      </c>
      <c r="D1492" t="inlineStr">
        <is>
          <t>VÄSTRA GÖTALANDS LÄN</t>
        </is>
      </c>
      <c r="E1492" t="inlineStr">
        <is>
          <t>LIDKÖPING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16742-2022</t>
        </is>
      </c>
      <c r="B1493" s="1" t="n">
        <v>44673.45262731481</v>
      </c>
      <c r="C1493" s="1" t="n">
        <v>46011</v>
      </c>
      <c r="D1493" t="inlineStr">
        <is>
          <t>VÄSTRA GÖTALANDS LÄN</t>
        </is>
      </c>
      <c r="E1493" t="inlineStr">
        <is>
          <t>GÖTENE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23894-2022</t>
        </is>
      </c>
      <c r="B1494" s="1" t="n">
        <v>44722.58847222223</v>
      </c>
      <c r="C1494" s="1" t="n">
        <v>46011</v>
      </c>
      <c r="D1494" t="inlineStr">
        <is>
          <t>VÄSTRA GÖTALANDS LÄN</t>
        </is>
      </c>
      <c r="E1494" t="inlineStr">
        <is>
          <t>MARK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23297-2022</t>
        </is>
      </c>
      <c r="B1495" s="1" t="n">
        <v>44720.45840277777</v>
      </c>
      <c r="C1495" s="1" t="n">
        <v>46011</v>
      </c>
      <c r="D1495" t="inlineStr">
        <is>
          <t>VÄSTRA GÖTALANDS LÄN</t>
        </is>
      </c>
      <c r="E1495" t="inlineStr">
        <is>
          <t>LILLA EDET</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33258-2021</t>
        </is>
      </c>
      <c r="B1496" s="1" t="n">
        <v>44377</v>
      </c>
      <c r="C1496" s="1" t="n">
        <v>46011</v>
      </c>
      <c r="D1496" t="inlineStr">
        <is>
          <t>VÄSTRA GÖTALANDS LÄN</t>
        </is>
      </c>
      <c r="E1496" t="inlineStr">
        <is>
          <t>TANUM</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51873-2021</t>
        </is>
      </c>
      <c r="B1497" s="1" t="n">
        <v>44462.73725694444</v>
      </c>
      <c r="C1497" s="1" t="n">
        <v>46011</v>
      </c>
      <c r="D1497" t="inlineStr">
        <is>
          <t>VÄSTRA GÖTALANDS LÄN</t>
        </is>
      </c>
      <c r="E1497" t="inlineStr">
        <is>
          <t>UDDEVALLA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26544-2022</t>
        </is>
      </c>
      <c r="B1498" s="1" t="n">
        <v>44739</v>
      </c>
      <c r="C1498" s="1" t="n">
        <v>46011</v>
      </c>
      <c r="D1498" t="inlineStr">
        <is>
          <t>VÄSTRA GÖTALANDS LÄN</t>
        </is>
      </c>
      <c r="E1498" t="inlineStr">
        <is>
          <t>FALKÖPING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2463-2021</t>
        </is>
      </c>
      <c r="B1499" s="1" t="n">
        <v>44214</v>
      </c>
      <c r="C1499" s="1" t="n">
        <v>46011</v>
      </c>
      <c r="D1499" t="inlineStr">
        <is>
          <t>VÄSTRA GÖTALANDS LÄN</t>
        </is>
      </c>
      <c r="E1499" t="inlineStr">
        <is>
          <t>VÄNERSBORG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24139-2022</t>
        </is>
      </c>
      <c r="B1500" s="1" t="n">
        <v>44725.46222222222</v>
      </c>
      <c r="C1500" s="1" t="n">
        <v>46011</v>
      </c>
      <c r="D1500" t="inlineStr">
        <is>
          <t>VÄSTRA GÖTALANDS LÄN</t>
        </is>
      </c>
      <c r="E1500" t="inlineStr">
        <is>
          <t>LIDKÖPING</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8676-2022</t>
        </is>
      </c>
      <c r="B1501" s="1" t="n">
        <v>44613.67846064815</v>
      </c>
      <c r="C1501" s="1" t="n">
        <v>46011</v>
      </c>
      <c r="D1501" t="inlineStr">
        <is>
          <t>VÄSTRA GÖTALANDS LÄN</t>
        </is>
      </c>
      <c r="E1501" t="inlineStr">
        <is>
          <t>BENGTSFORS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36791-2021</t>
        </is>
      </c>
      <c r="B1502" s="1" t="n">
        <v>44392.70053240741</v>
      </c>
      <c r="C1502" s="1" t="n">
        <v>46011</v>
      </c>
      <c r="D1502" t="inlineStr">
        <is>
          <t>VÄSTRA GÖTALANDS LÄN</t>
        </is>
      </c>
      <c r="E1502" t="inlineStr">
        <is>
          <t>TANUM</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49971-2021</t>
        </is>
      </c>
      <c r="B1503" s="1" t="n">
        <v>44456</v>
      </c>
      <c r="C1503" s="1" t="n">
        <v>46011</v>
      </c>
      <c r="D1503" t="inlineStr">
        <is>
          <t>VÄSTRA GÖTALANDS LÄN</t>
        </is>
      </c>
      <c r="E1503" t="inlineStr">
        <is>
          <t>MARK</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1039-2021</t>
        </is>
      </c>
      <c r="B1504" s="1" t="n">
        <v>44207</v>
      </c>
      <c r="C1504" s="1" t="n">
        <v>46011</v>
      </c>
      <c r="D1504" t="inlineStr">
        <is>
          <t>VÄSTRA GÖTALANDS LÄN</t>
        </is>
      </c>
      <c r="E1504" t="inlineStr">
        <is>
          <t>BENGTSFORS</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28167-2022</t>
        </is>
      </c>
      <c r="B1505" s="1" t="n">
        <v>44746.57121527778</v>
      </c>
      <c r="C1505" s="1" t="n">
        <v>46011</v>
      </c>
      <c r="D1505" t="inlineStr">
        <is>
          <t>VÄSTRA GÖTALANDS LÄN</t>
        </is>
      </c>
      <c r="E1505" t="inlineStr">
        <is>
          <t>GULLSPÅNG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33513-2021</t>
        </is>
      </c>
      <c r="B1506" s="1" t="n">
        <v>44377</v>
      </c>
      <c r="C1506" s="1" t="n">
        <v>46011</v>
      </c>
      <c r="D1506" t="inlineStr">
        <is>
          <t>VÄSTRA GÖTALANDS LÄN</t>
        </is>
      </c>
      <c r="E1506" t="inlineStr">
        <is>
          <t>GULLSPÅNG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44072-2021</t>
        </is>
      </c>
      <c r="B1507" s="1" t="n">
        <v>44434</v>
      </c>
      <c r="C1507" s="1" t="n">
        <v>46011</v>
      </c>
      <c r="D1507" t="inlineStr">
        <is>
          <t>VÄSTRA GÖTALANDS LÄN</t>
        </is>
      </c>
      <c r="E1507" t="inlineStr">
        <is>
          <t>GULLSPÅNG</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43053-2021</t>
        </is>
      </c>
      <c r="B1508" s="1" t="n">
        <v>44431</v>
      </c>
      <c r="C1508" s="1" t="n">
        <v>46011</v>
      </c>
      <c r="D1508" t="inlineStr">
        <is>
          <t>VÄSTRA GÖTALANDS LÄN</t>
        </is>
      </c>
      <c r="E1508" t="inlineStr">
        <is>
          <t>SOTENÄS</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43056-2021</t>
        </is>
      </c>
      <c r="B1509" s="1" t="n">
        <v>44431</v>
      </c>
      <c r="C1509" s="1" t="n">
        <v>46011</v>
      </c>
      <c r="D1509" t="inlineStr">
        <is>
          <t>VÄSTRA GÖTALANDS LÄN</t>
        </is>
      </c>
      <c r="E1509" t="inlineStr">
        <is>
          <t>SOTENÄS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42380-2022</t>
        </is>
      </c>
      <c r="B1510" s="1" t="n">
        <v>44831</v>
      </c>
      <c r="C1510" s="1" t="n">
        <v>46011</v>
      </c>
      <c r="D1510" t="inlineStr">
        <is>
          <t>VÄSTRA GÖTALANDS LÄN</t>
        </is>
      </c>
      <c r="E1510" t="inlineStr">
        <is>
          <t>MÖLNDAL</t>
        </is>
      </c>
      <c r="F1510" t="inlineStr">
        <is>
          <t>Kommuner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17411-2022</t>
        </is>
      </c>
      <c r="B1511" s="1" t="n">
        <v>44678.86274305556</v>
      </c>
      <c r="C1511" s="1" t="n">
        <v>46011</v>
      </c>
      <c r="D1511" t="inlineStr">
        <is>
          <t>VÄSTRA GÖTALANDS LÄN</t>
        </is>
      </c>
      <c r="E1511" t="inlineStr">
        <is>
          <t>BORÅS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14609-2021</t>
        </is>
      </c>
      <c r="B1512" s="1" t="n">
        <v>44280.27577546296</v>
      </c>
      <c r="C1512" s="1" t="n">
        <v>46011</v>
      </c>
      <c r="D1512" t="inlineStr">
        <is>
          <t>VÄSTRA GÖTALANDS LÄN</t>
        </is>
      </c>
      <c r="E1512" t="inlineStr">
        <is>
          <t>TÖREBODA</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97-2021</t>
        </is>
      </c>
      <c r="B1513" s="1" t="n">
        <v>44200</v>
      </c>
      <c r="C1513" s="1" t="n">
        <v>46011</v>
      </c>
      <c r="D1513" t="inlineStr">
        <is>
          <t>VÄSTRA GÖTALANDS LÄN</t>
        </is>
      </c>
      <c r="E1513" t="inlineStr">
        <is>
          <t>BORÅS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33547-2022</t>
        </is>
      </c>
      <c r="B1514" s="1" t="n">
        <v>44789.37310185185</v>
      </c>
      <c r="C1514" s="1" t="n">
        <v>46011</v>
      </c>
      <c r="D1514" t="inlineStr">
        <is>
          <t>VÄSTRA GÖTALANDS LÄN</t>
        </is>
      </c>
      <c r="E1514" t="inlineStr">
        <is>
          <t>TROLLHÄTTAN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10158-2021</t>
        </is>
      </c>
      <c r="B1515" s="1" t="n">
        <v>44256</v>
      </c>
      <c r="C1515" s="1" t="n">
        <v>46011</v>
      </c>
      <c r="D1515" t="inlineStr">
        <is>
          <t>VÄSTRA GÖTALANDS LÄN</t>
        </is>
      </c>
      <c r="E1515" t="inlineStr">
        <is>
          <t>VÅRGÅRDA</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14349-2021</t>
        </is>
      </c>
      <c r="B1516" s="1" t="n">
        <v>44278</v>
      </c>
      <c r="C1516" s="1" t="n">
        <v>46011</v>
      </c>
      <c r="D1516" t="inlineStr">
        <is>
          <t>VÄSTRA GÖTALANDS LÄN</t>
        </is>
      </c>
      <c r="E1516" t="inlineStr">
        <is>
          <t>HÄRRYDA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30950-2021</t>
        </is>
      </c>
      <c r="B1517" s="1" t="n">
        <v>44365.70123842593</v>
      </c>
      <c r="C1517" s="1" t="n">
        <v>46011</v>
      </c>
      <c r="D1517" t="inlineStr">
        <is>
          <t>VÄSTRA GÖTALANDS LÄN</t>
        </is>
      </c>
      <c r="E1517" t="inlineStr">
        <is>
          <t>LILLA EDET</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30951-2021</t>
        </is>
      </c>
      <c r="B1518" s="1" t="n">
        <v>44365.70269675926</v>
      </c>
      <c r="C1518" s="1" t="n">
        <v>46011</v>
      </c>
      <c r="D1518" t="inlineStr">
        <is>
          <t>VÄSTRA GÖTALANDS LÄN</t>
        </is>
      </c>
      <c r="E1518" t="inlineStr">
        <is>
          <t>LILLA EDET</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3473-2022</t>
        </is>
      </c>
      <c r="B1519" s="1" t="n">
        <v>44585</v>
      </c>
      <c r="C1519" s="1" t="n">
        <v>46011</v>
      </c>
      <c r="D1519" t="inlineStr">
        <is>
          <t>VÄSTRA GÖTALANDS LÄN</t>
        </is>
      </c>
      <c r="E1519" t="inlineStr">
        <is>
          <t>BENGTSFORS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59779-2021</t>
        </is>
      </c>
      <c r="B1520" s="1" t="n">
        <v>44494</v>
      </c>
      <c r="C1520" s="1" t="n">
        <v>46011</v>
      </c>
      <c r="D1520" t="inlineStr">
        <is>
          <t>VÄSTRA GÖTALANDS LÄN</t>
        </is>
      </c>
      <c r="E1520" t="inlineStr">
        <is>
          <t>TRANEMO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30935-2021</t>
        </is>
      </c>
      <c r="B1521" s="1" t="n">
        <v>44365</v>
      </c>
      <c r="C1521" s="1" t="n">
        <v>46011</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24410-2021</t>
        </is>
      </c>
      <c r="B1522" s="1" t="n">
        <v>44337.5053587963</v>
      </c>
      <c r="C1522" s="1" t="n">
        <v>46011</v>
      </c>
      <c r="D1522" t="inlineStr">
        <is>
          <t>VÄSTRA GÖTALANDS LÄN</t>
        </is>
      </c>
      <c r="E1522" t="inlineStr">
        <is>
          <t>MARK</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24420-2021</t>
        </is>
      </c>
      <c r="B1523" s="1" t="n">
        <v>44337</v>
      </c>
      <c r="C1523" s="1" t="n">
        <v>46011</v>
      </c>
      <c r="D1523" t="inlineStr">
        <is>
          <t>VÄSTRA GÖTALANDS LÄN</t>
        </is>
      </c>
      <c r="E1523" t="inlineStr">
        <is>
          <t>MARIESTAD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7849-2021</t>
        </is>
      </c>
      <c r="B1524" s="1" t="n">
        <v>44242</v>
      </c>
      <c r="C1524" s="1" t="n">
        <v>46011</v>
      </c>
      <c r="D1524" t="inlineStr">
        <is>
          <t>VÄSTRA GÖTALANDS LÄN</t>
        </is>
      </c>
      <c r="E1524" t="inlineStr">
        <is>
          <t>BENGTSFORS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69067-2020</t>
        </is>
      </c>
      <c r="B1525" s="1" t="n">
        <v>44188</v>
      </c>
      <c r="C1525" s="1" t="n">
        <v>46011</v>
      </c>
      <c r="D1525" t="inlineStr">
        <is>
          <t>VÄSTRA GÖTALANDS LÄN</t>
        </is>
      </c>
      <c r="E1525" t="inlineStr">
        <is>
          <t>BORÅS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29336-2022</t>
        </is>
      </c>
      <c r="B1526" s="1" t="n">
        <v>44752.80542824074</v>
      </c>
      <c r="C1526" s="1" t="n">
        <v>46011</v>
      </c>
      <c r="D1526" t="inlineStr">
        <is>
          <t>VÄSTRA GÖTALANDS LÄN</t>
        </is>
      </c>
      <c r="E1526" t="inlineStr">
        <is>
          <t>MELLERUD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29368-2022</t>
        </is>
      </c>
      <c r="B1527" s="1" t="n">
        <v>44753</v>
      </c>
      <c r="C1527" s="1" t="n">
        <v>46011</v>
      </c>
      <c r="D1527" t="inlineStr">
        <is>
          <t>VÄSTRA GÖTALANDS LÄN</t>
        </is>
      </c>
      <c r="E1527" t="inlineStr">
        <is>
          <t>VÄNERSBORG</t>
        </is>
      </c>
      <c r="F1527" t="inlineStr">
        <is>
          <t>Sveaskog</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30820-2022</t>
        </is>
      </c>
      <c r="B1528" s="1" t="n">
        <v>44766.64856481482</v>
      </c>
      <c r="C1528" s="1" t="n">
        <v>46011</v>
      </c>
      <c r="D1528" t="inlineStr">
        <is>
          <t>VÄSTRA GÖTALANDS LÄN</t>
        </is>
      </c>
      <c r="E1528" t="inlineStr">
        <is>
          <t>MARIESTAD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31076-2022</t>
        </is>
      </c>
      <c r="B1529" s="1" t="n">
        <v>44769.576875</v>
      </c>
      <c r="C1529" s="1" t="n">
        <v>46011</v>
      </c>
      <c r="D1529" t="inlineStr">
        <is>
          <t>VÄSTRA GÖTALANDS LÄN</t>
        </is>
      </c>
      <c r="E1529" t="inlineStr">
        <is>
          <t>GRÄSTORP</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16499-2021</t>
        </is>
      </c>
      <c r="B1530" s="1" t="n">
        <v>44293</v>
      </c>
      <c r="C1530" s="1" t="n">
        <v>46011</v>
      </c>
      <c r="D1530" t="inlineStr">
        <is>
          <t>VÄSTRA GÖTALANDS LÄN</t>
        </is>
      </c>
      <c r="E1530" t="inlineStr">
        <is>
          <t>BENGTSFORS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21947-2021</t>
        </is>
      </c>
      <c r="B1531" s="1" t="n">
        <v>44322.96021990741</v>
      </c>
      <c r="C1531" s="1" t="n">
        <v>46011</v>
      </c>
      <c r="D1531" t="inlineStr">
        <is>
          <t>VÄSTRA GÖTALANDS LÄN</t>
        </is>
      </c>
      <c r="E1531" t="inlineStr">
        <is>
          <t>GULLSPÅNG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41751-2021</t>
        </is>
      </c>
      <c r="B1532" s="1" t="n">
        <v>44425</v>
      </c>
      <c r="C1532" s="1" t="n">
        <v>46011</v>
      </c>
      <c r="D1532" t="inlineStr">
        <is>
          <t>VÄSTRA GÖTALANDS LÄN</t>
        </is>
      </c>
      <c r="E1532" t="inlineStr">
        <is>
          <t>KUNGÄLV</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7590-2021</t>
        </is>
      </c>
      <c r="B1533" s="1" t="n">
        <v>44241</v>
      </c>
      <c r="C1533" s="1" t="n">
        <v>46011</v>
      </c>
      <c r="D1533" t="inlineStr">
        <is>
          <t>VÄSTRA GÖTALANDS LÄN</t>
        </is>
      </c>
      <c r="E1533" t="inlineStr">
        <is>
          <t>TANUM</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52308-2022</t>
        </is>
      </c>
      <c r="B1534" s="1" t="n">
        <v>44873</v>
      </c>
      <c r="C1534" s="1" t="n">
        <v>46011</v>
      </c>
      <c r="D1534" t="inlineStr">
        <is>
          <t>VÄSTRA GÖTALANDS LÄN</t>
        </is>
      </c>
      <c r="E1534" t="inlineStr">
        <is>
          <t>BORÅS</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7063-2021</t>
        </is>
      </c>
      <c r="B1535" s="1" t="n">
        <v>44237</v>
      </c>
      <c r="C1535" s="1" t="n">
        <v>46011</v>
      </c>
      <c r="D1535" t="inlineStr">
        <is>
          <t>VÄSTRA GÖTALANDS LÄN</t>
        </is>
      </c>
      <c r="E1535" t="inlineStr">
        <is>
          <t>BORÅS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36501-2022</t>
        </is>
      </c>
      <c r="B1536" s="1" t="n">
        <v>44804.47979166666</v>
      </c>
      <c r="C1536" s="1" t="n">
        <v>46011</v>
      </c>
      <c r="D1536" t="inlineStr">
        <is>
          <t>VÄSTRA GÖTALANDS LÄN</t>
        </is>
      </c>
      <c r="E1536" t="inlineStr">
        <is>
          <t>TRANEMO</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37256-2021</t>
        </is>
      </c>
      <c r="B1537" s="1" t="n">
        <v>44397.3240162037</v>
      </c>
      <c r="C1537" s="1" t="n">
        <v>46011</v>
      </c>
      <c r="D1537" t="inlineStr">
        <is>
          <t>VÄSTRA GÖTALANDS LÄN</t>
        </is>
      </c>
      <c r="E1537" t="inlineStr">
        <is>
          <t>MARK</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37257-2021</t>
        </is>
      </c>
      <c r="B1538" s="1" t="n">
        <v>44397.3242824074</v>
      </c>
      <c r="C1538" s="1" t="n">
        <v>46011</v>
      </c>
      <c r="D1538" t="inlineStr">
        <is>
          <t>VÄSTRA GÖTALANDS LÄN</t>
        </is>
      </c>
      <c r="E1538" t="inlineStr">
        <is>
          <t>MARK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4766-2021</t>
        </is>
      </c>
      <c r="B1539" s="1" t="n">
        <v>44225</v>
      </c>
      <c r="C1539" s="1" t="n">
        <v>46011</v>
      </c>
      <c r="D1539" t="inlineStr">
        <is>
          <t>VÄSTRA GÖTALANDS LÄN</t>
        </is>
      </c>
      <c r="E1539" t="inlineStr">
        <is>
          <t>TROLLHÄTTAN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47616-2022</t>
        </is>
      </c>
      <c r="B1540" s="1" t="n">
        <v>44854</v>
      </c>
      <c r="C1540" s="1" t="n">
        <v>46011</v>
      </c>
      <c r="D1540" t="inlineStr">
        <is>
          <t>VÄSTRA GÖTALANDS LÄN</t>
        </is>
      </c>
      <c r="E1540" t="inlineStr">
        <is>
          <t>BORÅS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24700-2022</t>
        </is>
      </c>
      <c r="B1541" s="1" t="n">
        <v>44727.77521990741</v>
      </c>
      <c r="C1541" s="1" t="n">
        <v>46011</v>
      </c>
      <c r="D1541" t="inlineStr">
        <is>
          <t>VÄSTRA GÖTALANDS LÄN</t>
        </is>
      </c>
      <c r="E1541" t="inlineStr">
        <is>
          <t>SVENLJUNGA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46424-2021</t>
        </is>
      </c>
      <c r="B1542" s="1" t="n">
        <v>44442</v>
      </c>
      <c r="C1542" s="1" t="n">
        <v>46011</v>
      </c>
      <c r="D1542" t="inlineStr">
        <is>
          <t>VÄSTRA GÖTALANDS LÄN</t>
        </is>
      </c>
      <c r="E1542" t="inlineStr">
        <is>
          <t>VÄNERSBORG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41312-2021</t>
        </is>
      </c>
      <c r="B1543" s="1" t="n">
        <v>44424.57387731481</v>
      </c>
      <c r="C1543" s="1" t="n">
        <v>46011</v>
      </c>
      <c r="D1543" t="inlineStr">
        <is>
          <t>VÄSTRA GÖTALANDS LÄN</t>
        </is>
      </c>
      <c r="E1543" t="inlineStr">
        <is>
          <t>STENUNGSUND</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2966-2021</t>
        </is>
      </c>
      <c r="B1544" s="1" t="n">
        <v>44216</v>
      </c>
      <c r="C1544" s="1" t="n">
        <v>46011</v>
      </c>
      <c r="D1544" t="inlineStr">
        <is>
          <t>VÄSTRA GÖTALANDS LÄN</t>
        </is>
      </c>
      <c r="E1544" t="inlineStr">
        <is>
          <t>GULLSPÅNG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27849-2021</t>
        </is>
      </c>
      <c r="B1545" s="1" t="n">
        <v>44354.60260416667</v>
      </c>
      <c r="C1545" s="1" t="n">
        <v>46011</v>
      </c>
      <c r="D1545" t="inlineStr">
        <is>
          <t>VÄSTRA GÖTALANDS LÄN</t>
        </is>
      </c>
      <c r="E1545" t="inlineStr">
        <is>
          <t>HJO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10724-2021</t>
        </is>
      </c>
      <c r="B1546" s="1" t="n">
        <v>44258</v>
      </c>
      <c r="C1546" s="1" t="n">
        <v>46011</v>
      </c>
      <c r="D1546" t="inlineStr">
        <is>
          <t>VÄSTRA GÖTALANDS LÄN</t>
        </is>
      </c>
      <c r="E1546" t="inlineStr">
        <is>
          <t>SVENLJUNGA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2366-2021</t>
        </is>
      </c>
      <c r="B1547" s="1" t="n">
        <v>44214.43467592593</v>
      </c>
      <c r="C1547" s="1" t="n">
        <v>46011</v>
      </c>
      <c r="D1547" t="inlineStr">
        <is>
          <t>VÄSTRA GÖTALANDS LÄN</t>
        </is>
      </c>
      <c r="E1547" t="inlineStr">
        <is>
          <t>TRANEMO</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11331-2021</t>
        </is>
      </c>
      <c r="B1548" s="1" t="n">
        <v>44263</v>
      </c>
      <c r="C1548" s="1" t="n">
        <v>46011</v>
      </c>
      <c r="D1548" t="inlineStr">
        <is>
          <t>VÄSTRA GÖTALANDS LÄN</t>
        </is>
      </c>
      <c r="E1548" t="inlineStr">
        <is>
          <t>FALKÖPING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42869-2021</t>
        </is>
      </c>
      <c r="B1549" s="1" t="n">
        <v>44428</v>
      </c>
      <c r="C1549" s="1" t="n">
        <v>46011</v>
      </c>
      <c r="D1549" t="inlineStr">
        <is>
          <t>VÄSTRA GÖTALANDS LÄN</t>
        </is>
      </c>
      <c r="E1549" t="inlineStr">
        <is>
          <t>BENGTSFORS</t>
        </is>
      </c>
      <c r="F1549" t="inlineStr">
        <is>
          <t>Kyrkan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70931-2021</t>
        </is>
      </c>
      <c r="B1550" s="1" t="n">
        <v>44538.48643518519</v>
      </c>
      <c r="C1550" s="1" t="n">
        <v>46011</v>
      </c>
      <c r="D1550" t="inlineStr">
        <is>
          <t>VÄSTRA GÖTALANDS LÄN</t>
        </is>
      </c>
      <c r="E1550" t="inlineStr">
        <is>
          <t>BORÅS</t>
        </is>
      </c>
      <c r="F1550" t="inlineStr">
        <is>
          <t>Kommuner</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43733-2021</t>
        </is>
      </c>
      <c r="B1551" s="1" t="n">
        <v>44433</v>
      </c>
      <c r="C1551" s="1" t="n">
        <v>46011</v>
      </c>
      <c r="D1551" t="inlineStr">
        <is>
          <t>VÄSTRA GÖTALANDS LÄN</t>
        </is>
      </c>
      <c r="E1551" t="inlineStr">
        <is>
          <t>FALKÖPING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47173-2021</t>
        </is>
      </c>
      <c r="B1552" s="1" t="n">
        <v>44447.0432175926</v>
      </c>
      <c r="C1552" s="1" t="n">
        <v>46011</v>
      </c>
      <c r="D1552" t="inlineStr">
        <is>
          <t>VÄSTRA GÖTALANDS LÄN</t>
        </is>
      </c>
      <c r="E1552" t="inlineStr">
        <is>
          <t>GULLSPÅNG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47186-2021</t>
        </is>
      </c>
      <c r="B1553" s="1" t="n">
        <v>44447.30947916667</v>
      </c>
      <c r="C1553" s="1" t="n">
        <v>46011</v>
      </c>
      <c r="D1553" t="inlineStr">
        <is>
          <t>VÄSTRA GÖTALANDS LÄN</t>
        </is>
      </c>
      <c r="E1553" t="inlineStr">
        <is>
          <t>HERRLJUNGA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36402-2022</t>
        </is>
      </c>
      <c r="B1554" s="1" t="n">
        <v>44804</v>
      </c>
      <c r="C1554" s="1" t="n">
        <v>46011</v>
      </c>
      <c r="D1554" t="inlineStr">
        <is>
          <t>VÄSTRA GÖTALANDS LÄN</t>
        </is>
      </c>
      <c r="E1554" t="inlineStr">
        <is>
          <t>TIBRO</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10729-2022</t>
        </is>
      </c>
      <c r="B1555" s="1" t="n">
        <v>44627</v>
      </c>
      <c r="C1555" s="1" t="n">
        <v>46011</v>
      </c>
      <c r="D1555" t="inlineStr">
        <is>
          <t>VÄSTRA GÖTALANDS LÄN</t>
        </is>
      </c>
      <c r="E1555" t="inlineStr">
        <is>
          <t>LILLA EDET</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40807-2021</t>
        </is>
      </c>
      <c r="B1556" s="1" t="n">
        <v>44421</v>
      </c>
      <c r="C1556" s="1" t="n">
        <v>46011</v>
      </c>
      <c r="D1556" t="inlineStr">
        <is>
          <t>VÄSTRA GÖTALANDS LÄN</t>
        </is>
      </c>
      <c r="E1556" t="inlineStr">
        <is>
          <t>TRANEMO</t>
        </is>
      </c>
      <c r="F1556" t="inlineStr">
        <is>
          <t>Kyrkan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39570-2021</t>
        </is>
      </c>
      <c r="B1557" s="1" t="n">
        <v>44416</v>
      </c>
      <c r="C1557" s="1" t="n">
        <v>46011</v>
      </c>
      <c r="D1557" t="inlineStr">
        <is>
          <t>VÄSTRA GÖTALANDS LÄN</t>
        </is>
      </c>
      <c r="E1557" t="inlineStr">
        <is>
          <t>MARK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58506-2021</t>
        </is>
      </c>
      <c r="B1558" s="1" t="n">
        <v>44488</v>
      </c>
      <c r="C1558" s="1" t="n">
        <v>46011</v>
      </c>
      <c r="D1558" t="inlineStr">
        <is>
          <t>VÄSTRA GÖTALANDS LÄN</t>
        </is>
      </c>
      <c r="E1558" t="inlineStr">
        <is>
          <t>BENGTSFORS</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57805-2021</t>
        </is>
      </c>
      <c r="B1559" s="1" t="n">
        <v>44484</v>
      </c>
      <c r="C1559" s="1" t="n">
        <v>46011</v>
      </c>
      <c r="D1559" t="inlineStr">
        <is>
          <t>VÄSTRA GÖTALANDS LÄN</t>
        </is>
      </c>
      <c r="E1559" t="inlineStr">
        <is>
          <t>MELLERUD</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18837-2022</t>
        </is>
      </c>
      <c r="B1560" s="1" t="n">
        <v>44690</v>
      </c>
      <c r="C1560" s="1" t="n">
        <v>46011</v>
      </c>
      <c r="D1560" t="inlineStr">
        <is>
          <t>VÄSTRA GÖTALANDS LÄN</t>
        </is>
      </c>
      <c r="E1560" t="inlineStr">
        <is>
          <t>DALS-ED</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63734-2021</t>
        </is>
      </c>
      <c r="B1561" s="1" t="n">
        <v>44508</v>
      </c>
      <c r="C1561" s="1" t="n">
        <v>46011</v>
      </c>
      <c r="D1561" t="inlineStr">
        <is>
          <t>VÄSTRA GÖTALANDS LÄN</t>
        </is>
      </c>
      <c r="E1561" t="inlineStr">
        <is>
          <t>BENGTSFORS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70018-2021</t>
        </is>
      </c>
      <c r="B1562" s="1" t="n">
        <v>44533.45332175926</v>
      </c>
      <c r="C1562" s="1" t="n">
        <v>46011</v>
      </c>
      <c r="D1562" t="inlineStr">
        <is>
          <t>VÄSTRA GÖTALANDS LÄN</t>
        </is>
      </c>
      <c r="E1562" t="inlineStr">
        <is>
          <t>ULRICEHAMN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70044-2021</t>
        </is>
      </c>
      <c r="B1563" s="1" t="n">
        <v>44533.47378472222</v>
      </c>
      <c r="C1563" s="1" t="n">
        <v>46011</v>
      </c>
      <c r="D1563" t="inlineStr">
        <is>
          <t>VÄSTRA GÖTALANDS LÄN</t>
        </is>
      </c>
      <c r="E1563" t="inlineStr">
        <is>
          <t>ULRICEHAMN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224-2022</t>
        </is>
      </c>
      <c r="B1564" s="1" t="n">
        <v>44564</v>
      </c>
      <c r="C1564" s="1" t="n">
        <v>46011</v>
      </c>
      <c r="D1564" t="inlineStr">
        <is>
          <t>VÄSTRA GÖTALANDS LÄN</t>
        </is>
      </c>
      <c r="E1564" t="inlineStr">
        <is>
          <t>BENGTSFORS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10578-2021</t>
        </is>
      </c>
      <c r="B1565" s="1" t="n">
        <v>44258.45496527778</v>
      </c>
      <c r="C1565" s="1" t="n">
        <v>46011</v>
      </c>
      <c r="D1565" t="inlineStr">
        <is>
          <t>VÄSTRA GÖTALANDS LÄN</t>
        </is>
      </c>
      <c r="E1565" t="inlineStr">
        <is>
          <t>LYSEKIL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64140-2021</t>
        </is>
      </c>
      <c r="B1566" s="1" t="n">
        <v>44510</v>
      </c>
      <c r="C1566" s="1" t="n">
        <v>46011</v>
      </c>
      <c r="D1566" t="inlineStr">
        <is>
          <t>VÄSTRA GÖTALANDS LÄN</t>
        </is>
      </c>
      <c r="E1566" t="inlineStr">
        <is>
          <t>MARK</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64223-2021</t>
        </is>
      </c>
      <c r="B1567" s="1" t="n">
        <v>44510</v>
      </c>
      <c r="C1567" s="1" t="n">
        <v>46011</v>
      </c>
      <c r="D1567" t="inlineStr">
        <is>
          <t>VÄSTRA GÖTALANDS LÄN</t>
        </is>
      </c>
      <c r="E1567" t="inlineStr">
        <is>
          <t>BORÅS</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1316-2022</t>
        </is>
      </c>
      <c r="B1568" s="1" t="n">
        <v>44572.73967592593</v>
      </c>
      <c r="C1568" s="1" t="n">
        <v>46011</v>
      </c>
      <c r="D1568" t="inlineStr">
        <is>
          <t>VÄSTRA GÖTALANDS LÄN</t>
        </is>
      </c>
      <c r="E1568" t="inlineStr">
        <is>
          <t>BENGTSFORS</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58933-2021</t>
        </is>
      </c>
      <c r="B1569" s="1" t="n">
        <v>44489.87993055556</v>
      </c>
      <c r="C1569" s="1" t="n">
        <v>46011</v>
      </c>
      <c r="D1569" t="inlineStr">
        <is>
          <t>VÄSTRA GÖTALANDS LÄN</t>
        </is>
      </c>
      <c r="E1569" t="inlineStr">
        <is>
          <t>UDDEVALLA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23970-2021</t>
        </is>
      </c>
      <c r="B1570" s="1" t="n">
        <v>44335</v>
      </c>
      <c r="C1570" s="1" t="n">
        <v>46011</v>
      </c>
      <c r="D1570" t="inlineStr">
        <is>
          <t>VÄSTRA GÖTALANDS LÄN</t>
        </is>
      </c>
      <c r="E1570" t="inlineStr">
        <is>
          <t>MELLERUD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23973-2021</t>
        </is>
      </c>
      <c r="B1571" s="1" t="n">
        <v>44335</v>
      </c>
      <c r="C1571" s="1" t="n">
        <v>46011</v>
      </c>
      <c r="D1571" t="inlineStr">
        <is>
          <t>VÄSTRA GÖTALANDS LÄN</t>
        </is>
      </c>
      <c r="E1571" t="inlineStr">
        <is>
          <t>MELLERUD</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13542-2021</t>
        </is>
      </c>
      <c r="B1572" s="1" t="n">
        <v>44273</v>
      </c>
      <c r="C1572" s="1" t="n">
        <v>46011</v>
      </c>
      <c r="D1572" t="inlineStr">
        <is>
          <t>VÄSTRA GÖTALANDS LÄN</t>
        </is>
      </c>
      <c r="E1572" t="inlineStr">
        <is>
          <t>TIDAHOLM</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36744-2022</t>
        </is>
      </c>
      <c r="B1573" s="1" t="n">
        <v>44805</v>
      </c>
      <c r="C1573" s="1" t="n">
        <v>46011</v>
      </c>
      <c r="D1573" t="inlineStr">
        <is>
          <t>VÄSTRA GÖTALANDS LÄN</t>
        </is>
      </c>
      <c r="E1573" t="inlineStr">
        <is>
          <t>LIDKÖPING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22499-2022</t>
        </is>
      </c>
      <c r="B1574" s="1" t="n">
        <v>44713.65042824074</v>
      </c>
      <c r="C1574" s="1" t="n">
        <v>46011</v>
      </c>
      <c r="D1574" t="inlineStr">
        <is>
          <t>VÄSTRA GÖTALANDS LÄN</t>
        </is>
      </c>
      <c r="E1574" t="inlineStr">
        <is>
          <t>ULRICEHAMN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3179-2022</t>
        </is>
      </c>
      <c r="B1575" s="1" t="n">
        <v>44582.61788194445</v>
      </c>
      <c r="C1575" s="1" t="n">
        <v>46011</v>
      </c>
      <c r="D1575" t="inlineStr">
        <is>
          <t>VÄSTRA GÖTALANDS LÄN</t>
        </is>
      </c>
      <c r="E1575" t="inlineStr">
        <is>
          <t>ALE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68333-2021</t>
        </is>
      </c>
      <c r="B1576" s="1" t="n">
        <v>44527</v>
      </c>
      <c r="C1576" s="1" t="n">
        <v>46011</v>
      </c>
      <c r="D1576" t="inlineStr">
        <is>
          <t>VÄSTRA GÖTALANDS LÄN</t>
        </is>
      </c>
      <c r="E1576" t="inlineStr">
        <is>
          <t>MUNKEDAL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3372-2022</t>
        </is>
      </c>
      <c r="B1577" s="1" t="n">
        <v>44585</v>
      </c>
      <c r="C1577" s="1" t="n">
        <v>46011</v>
      </c>
      <c r="D1577" t="inlineStr">
        <is>
          <t>VÄSTRA GÖTALANDS LÄN</t>
        </is>
      </c>
      <c r="E1577" t="inlineStr">
        <is>
          <t>STRÖMSTAD</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44055-2021</t>
        </is>
      </c>
      <c r="B1578" s="1" t="n">
        <v>44434</v>
      </c>
      <c r="C1578" s="1" t="n">
        <v>46011</v>
      </c>
      <c r="D1578" t="inlineStr">
        <is>
          <t>VÄSTRA GÖTALANDS LÄN</t>
        </is>
      </c>
      <c r="E1578" t="inlineStr">
        <is>
          <t>GULLSPÅNG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64927-2021</t>
        </is>
      </c>
      <c r="B1579" s="1" t="n">
        <v>44512</v>
      </c>
      <c r="C1579" s="1" t="n">
        <v>46011</v>
      </c>
      <c r="D1579" t="inlineStr">
        <is>
          <t>VÄSTRA GÖTALANDS LÄN</t>
        </is>
      </c>
      <c r="E1579" t="inlineStr">
        <is>
          <t>TIDAHOLM</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64930-2021</t>
        </is>
      </c>
      <c r="B1580" s="1" t="n">
        <v>44512</v>
      </c>
      <c r="C1580" s="1" t="n">
        <v>46011</v>
      </c>
      <c r="D1580" t="inlineStr">
        <is>
          <t>VÄSTRA GÖTALANDS LÄN</t>
        </is>
      </c>
      <c r="E1580" t="inlineStr">
        <is>
          <t>TIDAHOLM</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44094-2021</t>
        </is>
      </c>
      <c r="B1581" s="1" t="n">
        <v>44434.59706018519</v>
      </c>
      <c r="C1581" s="1" t="n">
        <v>46011</v>
      </c>
      <c r="D1581" t="inlineStr">
        <is>
          <t>VÄSTRA GÖTALANDS LÄN</t>
        </is>
      </c>
      <c r="E1581" t="inlineStr">
        <is>
          <t>TRANEMO</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15489-2021</t>
        </is>
      </c>
      <c r="B1582" s="1" t="n">
        <v>44285</v>
      </c>
      <c r="C1582" s="1" t="n">
        <v>46011</v>
      </c>
      <c r="D1582" t="inlineStr">
        <is>
          <t>VÄSTRA GÖTALANDS LÄN</t>
        </is>
      </c>
      <c r="E1582" t="inlineStr">
        <is>
          <t>TANUM</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58213-2021</t>
        </is>
      </c>
      <c r="B1583" s="1" t="n">
        <v>44487</v>
      </c>
      <c r="C1583" s="1" t="n">
        <v>46011</v>
      </c>
      <c r="D1583" t="inlineStr">
        <is>
          <t>VÄSTRA GÖTALANDS LÄN</t>
        </is>
      </c>
      <c r="E1583" t="inlineStr">
        <is>
          <t>DALS-ED</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15262-2022</t>
        </is>
      </c>
      <c r="B1584" s="1" t="n">
        <v>44659</v>
      </c>
      <c r="C1584" s="1" t="n">
        <v>46011</v>
      </c>
      <c r="D1584" t="inlineStr">
        <is>
          <t>VÄSTRA GÖTALANDS LÄN</t>
        </is>
      </c>
      <c r="E1584" t="inlineStr">
        <is>
          <t>SVENLJUNGA</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30774-2022</t>
        </is>
      </c>
      <c r="B1585" s="1" t="n">
        <v>44764</v>
      </c>
      <c r="C1585" s="1" t="n">
        <v>46011</v>
      </c>
      <c r="D1585" t="inlineStr">
        <is>
          <t>VÄSTRA GÖTALANDS LÄN</t>
        </is>
      </c>
      <c r="E1585" t="inlineStr">
        <is>
          <t>BOLLEBYGD</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65624-2021</t>
        </is>
      </c>
      <c r="B1586" s="1" t="n">
        <v>44516</v>
      </c>
      <c r="C1586" s="1" t="n">
        <v>46011</v>
      </c>
      <c r="D1586" t="inlineStr">
        <is>
          <t>VÄSTRA GÖTALANDS LÄN</t>
        </is>
      </c>
      <c r="E1586" t="inlineStr">
        <is>
          <t>ALINGSÅS</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54448-2021</t>
        </is>
      </c>
      <c r="B1587" s="1" t="n">
        <v>44473.45759259259</v>
      </c>
      <c r="C1587" s="1" t="n">
        <v>46011</v>
      </c>
      <c r="D1587" t="inlineStr">
        <is>
          <t>VÄSTRA GÖTALANDS LÄN</t>
        </is>
      </c>
      <c r="E1587" t="inlineStr">
        <is>
          <t>ESSUNGA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42438-2022</t>
        </is>
      </c>
      <c r="B1588" s="1" t="n">
        <v>44831.4771412037</v>
      </c>
      <c r="C1588" s="1" t="n">
        <v>46011</v>
      </c>
      <c r="D1588" t="inlineStr">
        <is>
          <t>VÄSTRA GÖTALANDS LÄN</t>
        </is>
      </c>
      <c r="E1588" t="inlineStr">
        <is>
          <t>VARA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21335-2022</t>
        </is>
      </c>
      <c r="B1589" s="1" t="n">
        <v>44705</v>
      </c>
      <c r="C1589" s="1" t="n">
        <v>46011</v>
      </c>
      <c r="D1589" t="inlineStr">
        <is>
          <t>VÄSTRA GÖTALANDS LÄN</t>
        </is>
      </c>
      <c r="E1589" t="inlineStr">
        <is>
          <t>LIDKÖPING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43847-2022</t>
        </is>
      </c>
      <c r="B1590" s="1" t="n">
        <v>44838</v>
      </c>
      <c r="C1590" s="1" t="n">
        <v>46011</v>
      </c>
      <c r="D1590" t="inlineStr">
        <is>
          <t>VÄSTRA GÖTALANDS LÄN</t>
        </is>
      </c>
      <c r="E1590" t="inlineStr">
        <is>
          <t>KUNGÄLV</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46713-2022</t>
        </is>
      </c>
      <c r="B1591" s="1" t="n">
        <v>44851.3972337963</v>
      </c>
      <c r="C1591" s="1" t="n">
        <v>46011</v>
      </c>
      <c r="D1591" t="inlineStr">
        <is>
          <t>VÄSTRA GÖTALANDS LÄN</t>
        </is>
      </c>
      <c r="E1591" t="inlineStr">
        <is>
          <t>VARA</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52243-2022</t>
        </is>
      </c>
      <c r="B1592" s="1" t="n">
        <v>44873.60039351852</v>
      </c>
      <c r="C1592" s="1" t="n">
        <v>46011</v>
      </c>
      <c r="D1592" t="inlineStr">
        <is>
          <t>VÄSTRA GÖTALANDS LÄN</t>
        </is>
      </c>
      <c r="E1592" t="inlineStr">
        <is>
          <t>MELLERUD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48636-2022</t>
        </is>
      </c>
      <c r="B1593" s="1" t="n">
        <v>44855</v>
      </c>
      <c r="C1593" s="1" t="n">
        <v>46011</v>
      </c>
      <c r="D1593" t="inlineStr">
        <is>
          <t>VÄSTRA GÖTALANDS LÄN</t>
        </is>
      </c>
      <c r="E1593" t="inlineStr">
        <is>
          <t>GULLSPÅNG</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42585-2022</t>
        </is>
      </c>
      <c r="B1594" s="1" t="n">
        <v>44831.70172453704</v>
      </c>
      <c r="C1594" s="1" t="n">
        <v>46011</v>
      </c>
      <c r="D1594" t="inlineStr">
        <is>
          <t>VÄSTRA GÖTALANDS LÄN</t>
        </is>
      </c>
      <c r="E1594" t="inlineStr">
        <is>
          <t>MUNKEDAL</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31303-2022</t>
        </is>
      </c>
      <c r="B1595" s="1" t="n">
        <v>44773</v>
      </c>
      <c r="C1595" s="1" t="n">
        <v>46011</v>
      </c>
      <c r="D1595" t="inlineStr">
        <is>
          <t>VÄSTRA GÖTALANDS LÄN</t>
        </is>
      </c>
      <c r="E1595" t="inlineStr">
        <is>
          <t>ALINGSÅS</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50987-2022</t>
        </is>
      </c>
      <c r="B1596" s="1" t="n">
        <v>44867.89589120371</v>
      </c>
      <c r="C1596" s="1" t="n">
        <v>46011</v>
      </c>
      <c r="D1596" t="inlineStr">
        <is>
          <t>VÄSTRA GÖTALANDS LÄN</t>
        </is>
      </c>
      <c r="E1596" t="inlineStr">
        <is>
          <t>VARA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38954-2022</t>
        </is>
      </c>
      <c r="B1597" s="1" t="n">
        <v>44816.70112268518</v>
      </c>
      <c r="C1597" s="1" t="n">
        <v>46011</v>
      </c>
      <c r="D1597" t="inlineStr">
        <is>
          <t>VÄSTRA GÖTALANDS LÄN</t>
        </is>
      </c>
      <c r="E1597" t="inlineStr">
        <is>
          <t>MARK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51403-2022</t>
        </is>
      </c>
      <c r="B1598" s="1" t="n">
        <v>44866</v>
      </c>
      <c r="C1598" s="1" t="n">
        <v>46011</v>
      </c>
      <c r="D1598" t="inlineStr">
        <is>
          <t>VÄSTRA GÖTALANDS LÄN</t>
        </is>
      </c>
      <c r="E1598" t="inlineStr">
        <is>
          <t>BENGTSFORS</t>
        </is>
      </c>
      <c r="F1598" t="inlineStr">
        <is>
          <t>Kyrkan</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17032-2021</t>
        </is>
      </c>
      <c r="B1599" s="1" t="n">
        <v>44295.6893287037</v>
      </c>
      <c r="C1599" s="1" t="n">
        <v>46011</v>
      </c>
      <c r="D1599" t="inlineStr">
        <is>
          <t>VÄSTRA GÖTALANDS LÄN</t>
        </is>
      </c>
      <c r="E1599" t="inlineStr">
        <is>
          <t>HERRLJUNGA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15392-2022</t>
        </is>
      </c>
      <c r="B1600" s="1" t="n">
        <v>44659</v>
      </c>
      <c r="C1600" s="1" t="n">
        <v>46011</v>
      </c>
      <c r="D1600" t="inlineStr">
        <is>
          <t>VÄSTRA GÖTALANDS LÄN</t>
        </is>
      </c>
      <c r="E1600" t="inlineStr">
        <is>
          <t>HERRLJUNGA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53758-2022</t>
        </is>
      </c>
      <c r="B1601" s="1" t="n">
        <v>44880</v>
      </c>
      <c r="C1601" s="1" t="n">
        <v>46011</v>
      </c>
      <c r="D1601" t="inlineStr">
        <is>
          <t>VÄSTRA GÖTALANDS LÄN</t>
        </is>
      </c>
      <c r="E1601" t="inlineStr">
        <is>
          <t>MARIESTAD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44320-2022</t>
        </is>
      </c>
      <c r="B1602" s="1" t="n">
        <v>44839</v>
      </c>
      <c r="C1602" s="1" t="n">
        <v>46011</v>
      </c>
      <c r="D1602" t="inlineStr">
        <is>
          <t>VÄSTRA GÖTALANDS LÄN</t>
        </is>
      </c>
      <c r="E1602" t="inlineStr">
        <is>
          <t>BENGTSFORS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48733-2022</t>
        </is>
      </c>
      <c r="B1603" s="1" t="n">
        <v>44859</v>
      </c>
      <c r="C1603" s="1" t="n">
        <v>46011</v>
      </c>
      <c r="D1603" t="inlineStr">
        <is>
          <t>VÄSTRA GÖTALANDS LÄN</t>
        </is>
      </c>
      <c r="E1603" t="inlineStr">
        <is>
          <t>GÖTENE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26926-2022</t>
        </is>
      </c>
      <c r="B1604" s="1" t="n">
        <v>44740</v>
      </c>
      <c r="C1604" s="1" t="n">
        <v>46011</v>
      </c>
      <c r="D1604" t="inlineStr">
        <is>
          <t>VÄSTRA GÖTALANDS LÄN</t>
        </is>
      </c>
      <c r="E1604" t="inlineStr">
        <is>
          <t>STRÖMSTAD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44507-2022</t>
        </is>
      </c>
      <c r="B1605" s="1" t="n">
        <v>44840.4175</v>
      </c>
      <c r="C1605" s="1" t="n">
        <v>46011</v>
      </c>
      <c r="D1605" t="inlineStr">
        <is>
          <t>VÄSTRA GÖTALANDS LÄN</t>
        </is>
      </c>
      <c r="E1605" t="inlineStr">
        <is>
          <t>GÖTENE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40651-2022</t>
        </is>
      </c>
      <c r="B1606" s="1" t="n">
        <v>44824.34898148148</v>
      </c>
      <c r="C1606" s="1" t="n">
        <v>46011</v>
      </c>
      <c r="D1606" t="inlineStr">
        <is>
          <t>VÄSTRA GÖTALANDS LÄN</t>
        </is>
      </c>
      <c r="E1606" t="inlineStr">
        <is>
          <t>SVENLJUNGA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37425-2022</t>
        </is>
      </c>
      <c r="B1607" s="1" t="n">
        <v>44809</v>
      </c>
      <c r="C1607" s="1" t="n">
        <v>46011</v>
      </c>
      <c r="D1607" t="inlineStr">
        <is>
          <t>VÄSTRA GÖTALANDS LÄN</t>
        </is>
      </c>
      <c r="E1607" t="inlineStr">
        <is>
          <t>ÅMÅL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54943-2021</t>
        </is>
      </c>
      <c r="B1608" s="1" t="n">
        <v>44474.4628125</v>
      </c>
      <c r="C1608" s="1" t="n">
        <v>46011</v>
      </c>
      <c r="D1608" t="inlineStr">
        <is>
          <t>VÄSTRA GÖTALANDS LÄN</t>
        </is>
      </c>
      <c r="E1608" t="inlineStr">
        <is>
          <t>MARK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44601-2022</t>
        </is>
      </c>
      <c r="B1609" s="1" t="n">
        <v>44840.54688657408</v>
      </c>
      <c r="C1609" s="1" t="n">
        <v>46011</v>
      </c>
      <c r="D1609" t="inlineStr">
        <is>
          <t>VÄSTRA GÖTALANDS LÄN</t>
        </is>
      </c>
      <c r="E1609" t="inlineStr">
        <is>
          <t>GRÄSTORP</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16898-2021</t>
        </is>
      </c>
      <c r="B1610" s="1" t="n">
        <v>44295</v>
      </c>
      <c r="C1610" s="1" t="n">
        <v>46011</v>
      </c>
      <c r="D1610" t="inlineStr">
        <is>
          <t>VÄSTRA GÖTALANDS LÄN</t>
        </is>
      </c>
      <c r="E1610" t="inlineStr">
        <is>
          <t>MARK</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47234-2022</t>
        </is>
      </c>
      <c r="B1611" s="1" t="n">
        <v>44852</v>
      </c>
      <c r="C1611" s="1" t="n">
        <v>46011</v>
      </c>
      <c r="D1611" t="inlineStr">
        <is>
          <t>VÄSTRA GÖTALANDS LÄN</t>
        </is>
      </c>
      <c r="E1611" t="inlineStr">
        <is>
          <t>ALINGSÅS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53549-2022</t>
        </is>
      </c>
      <c r="B1612" s="1" t="n">
        <v>44879.6300462963</v>
      </c>
      <c r="C1612" s="1" t="n">
        <v>46011</v>
      </c>
      <c r="D1612" t="inlineStr">
        <is>
          <t>VÄSTRA GÖTALANDS LÄN</t>
        </is>
      </c>
      <c r="E1612" t="inlineStr">
        <is>
          <t>MELLERUD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61046-2021</t>
        </is>
      </c>
      <c r="B1613" s="1" t="n">
        <v>44497</v>
      </c>
      <c r="C1613" s="1" t="n">
        <v>46011</v>
      </c>
      <c r="D1613" t="inlineStr">
        <is>
          <t>VÄSTRA GÖTALANDS LÄN</t>
        </is>
      </c>
      <c r="E1613" t="inlineStr">
        <is>
          <t>SVENLJUNGA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61069-2021</t>
        </is>
      </c>
      <c r="B1614" s="1" t="n">
        <v>44497.82625</v>
      </c>
      <c r="C1614" s="1" t="n">
        <v>46011</v>
      </c>
      <c r="D1614" t="inlineStr">
        <is>
          <t>VÄSTRA GÖTALANDS LÄN</t>
        </is>
      </c>
      <c r="E1614" t="inlineStr">
        <is>
          <t>ULRICEHAMN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60337-2021</t>
        </is>
      </c>
      <c r="B1615" s="1" t="n">
        <v>44496</v>
      </c>
      <c r="C1615" s="1" t="n">
        <v>46011</v>
      </c>
      <c r="D1615" t="inlineStr">
        <is>
          <t>VÄSTRA GÖTALANDS LÄN</t>
        </is>
      </c>
      <c r="E1615" t="inlineStr">
        <is>
          <t>SVENLJUNGA</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63485-2021</t>
        </is>
      </c>
      <c r="B1616" s="1" t="n">
        <v>44508.61591435185</v>
      </c>
      <c r="C1616" s="1" t="n">
        <v>46011</v>
      </c>
      <c r="D1616" t="inlineStr">
        <is>
          <t>VÄSTRA GÖTALANDS LÄN</t>
        </is>
      </c>
      <c r="E1616" t="inlineStr">
        <is>
          <t>BENGTSFORS</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37196-2022</t>
        </is>
      </c>
      <c r="B1617" s="1" t="n">
        <v>44806.63174768518</v>
      </c>
      <c r="C1617" s="1" t="n">
        <v>46011</v>
      </c>
      <c r="D1617" t="inlineStr">
        <is>
          <t>VÄSTRA GÖTALANDS LÄN</t>
        </is>
      </c>
      <c r="E1617" t="inlineStr">
        <is>
          <t>BENGTSFORS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37214-2022</t>
        </is>
      </c>
      <c r="B1618" s="1" t="n">
        <v>44806</v>
      </c>
      <c r="C1618" s="1" t="n">
        <v>46011</v>
      </c>
      <c r="D1618" t="inlineStr">
        <is>
          <t>VÄSTRA GÖTALANDS LÄN</t>
        </is>
      </c>
      <c r="E1618" t="inlineStr">
        <is>
          <t>GRÄSTORP</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46930-2022</t>
        </is>
      </c>
      <c r="B1619" s="1" t="n">
        <v>44851.74130787037</v>
      </c>
      <c r="C1619" s="1" t="n">
        <v>46011</v>
      </c>
      <c r="D1619" t="inlineStr">
        <is>
          <t>VÄSTRA GÖTALANDS LÄN</t>
        </is>
      </c>
      <c r="E1619" t="inlineStr">
        <is>
          <t>VARA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61185-2021</t>
        </is>
      </c>
      <c r="B1620" s="1" t="n">
        <v>44498.46320601852</v>
      </c>
      <c r="C1620" s="1" t="n">
        <v>46011</v>
      </c>
      <c r="D1620" t="inlineStr">
        <is>
          <t>VÄSTRA GÖTALANDS LÄN</t>
        </is>
      </c>
      <c r="E1620" t="inlineStr">
        <is>
          <t>SVENLJUNGA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48115-2022</t>
        </is>
      </c>
      <c r="B1621" s="1" t="n">
        <v>44857</v>
      </c>
      <c r="C1621" s="1" t="n">
        <v>46011</v>
      </c>
      <c r="D1621" t="inlineStr">
        <is>
          <t>VÄSTRA GÖTALANDS LÄN</t>
        </is>
      </c>
      <c r="E1621" t="inlineStr">
        <is>
          <t>VÄNERSBORG</t>
        </is>
      </c>
      <c r="G1621" t="n">
        <v>23.4</v>
      </c>
      <c r="H1621" t="n">
        <v>0</v>
      </c>
      <c r="I1621" t="n">
        <v>0</v>
      </c>
      <c r="J1621" t="n">
        <v>0</v>
      </c>
      <c r="K1621" t="n">
        <v>0</v>
      </c>
      <c r="L1621" t="n">
        <v>0</v>
      </c>
      <c r="M1621" t="n">
        <v>0</v>
      </c>
      <c r="N1621" t="n">
        <v>0</v>
      </c>
      <c r="O1621" t="n">
        <v>0</v>
      </c>
      <c r="P1621" t="n">
        <v>0</v>
      </c>
      <c r="Q1621" t="n">
        <v>0</v>
      </c>
      <c r="R1621" s="2" t="inlineStr"/>
    </row>
    <row r="1622" ht="15" customHeight="1">
      <c r="A1622" t="inlineStr">
        <is>
          <t>A 60444-2021</t>
        </is>
      </c>
      <c r="B1622" s="1" t="n">
        <v>44496.43965277778</v>
      </c>
      <c r="C1622" s="1" t="n">
        <v>46011</v>
      </c>
      <c r="D1622" t="inlineStr">
        <is>
          <t>VÄSTRA GÖTALANDS LÄN</t>
        </is>
      </c>
      <c r="E1622" t="inlineStr">
        <is>
          <t>FÄRGELANDA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33114-2022</t>
        </is>
      </c>
      <c r="B1623" s="1" t="n">
        <v>44785.51939814815</v>
      </c>
      <c r="C1623" s="1" t="n">
        <v>46011</v>
      </c>
      <c r="D1623" t="inlineStr">
        <is>
          <t>VÄSTRA GÖTALANDS LÄN</t>
        </is>
      </c>
      <c r="E1623" t="inlineStr">
        <is>
          <t>KARLSBORG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33685-2022</t>
        </is>
      </c>
      <c r="B1624" s="1" t="n">
        <v>44789.66380787037</v>
      </c>
      <c r="C1624" s="1" t="n">
        <v>46011</v>
      </c>
      <c r="D1624" t="inlineStr">
        <is>
          <t>VÄSTRA GÖTALANDS LÄN</t>
        </is>
      </c>
      <c r="E1624" t="inlineStr">
        <is>
          <t>SVENLJUNGA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51214-2022</t>
        </is>
      </c>
      <c r="B1625" s="1" t="n">
        <v>44865</v>
      </c>
      <c r="C1625" s="1" t="n">
        <v>46011</v>
      </c>
      <c r="D1625" t="inlineStr">
        <is>
          <t>VÄSTRA GÖTALANDS LÄN</t>
        </is>
      </c>
      <c r="E1625" t="inlineStr">
        <is>
          <t>DALS-ED</t>
        </is>
      </c>
      <c r="F1625" t="inlineStr">
        <is>
          <t>Kyrkan</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69871-2021</t>
        </is>
      </c>
      <c r="B1626" s="1" t="n">
        <v>44532.78952546296</v>
      </c>
      <c r="C1626" s="1" t="n">
        <v>46011</v>
      </c>
      <c r="D1626" t="inlineStr">
        <is>
          <t>VÄSTRA GÖTALANDS LÄN</t>
        </is>
      </c>
      <c r="E1626" t="inlineStr">
        <is>
          <t>SVENLJUNGA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43709-2022</t>
        </is>
      </c>
      <c r="B1627" s="1" t="n">
        <v>44836</v>
      </c>
      <c r="C1627" s="1" t="n">
        <v>46011</v>
      </c>
      <c r="D1627" t="inlineStr">
        <is>
          <t>VÄSTRA GÖTALANDS LÄN</t>
        </is>
      </c>
      <c r="E1627" t="inlineStr">
        <is>
          <t>KUNGÄLV</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50007-2022</t>
        </is>
      </c>
      <c r="B1628" s="1" t="n">
        <v>44865.43612268518</v>
      </c>
      <c r="C1628" s="1" t="n">
        <v>46011</v>
      </c>
      <c r="D1628" t="inlineStr">
        <is>
          <t>VÄSTRA GÖTALANDS LÄN</t>
        </is>
      </c>
      <c r="E1628" t="inlineStr">
        <is>
          <t>STRÖMSTAD</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212-2021</t>
        </is>
      </c>
      <c r="B1629" s="1" t="n">
        <v>44200</v>
      </c>
      <c r="C1629" s="1" t="n">
        <v>46011</v>
      </c>
      <c r="D1629" t="inlineStr">
        <is>
          <t>VÄSTRA GÖTALANDS LÄN</t>
        </is>
      </c>
      <c r="E1629" t="inlineStr">
        <is>
          <t>BOLLEBYGD</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43568-2022</t>
        </is>
      </c>
      <c r="B1630" s="1" t="n">
        <v>44834</v>
      </c>
      <c r="C1630" s="1" t="n">
        <v>46011</v>
      </c>
      <c r="D1630" t="inlineStr">
        <is>
          <t>VÄSTRA GÖTALANDS LÄN</t>
        </is>
      </c>
      <c r="E1630" t="inlineStr">
        <is>
          <t>SKÖVDE</t>
        </is>
      </c>
      <c r="F1630" t="inlineStr">
        <is>
          <t>Kommuner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29383-2021</t>
        </is>
      </c>
      <c r="B1631" s="1" t="n">
        <v>44361.47685185185</v>
      </c>
      <c r="C1631" s="1" t="n">
        <v>46011</v>
      </c>
      <c r="D1631" t="inlineStr">
        <is>
          <t>VÄSTRA GÖTALANDS LÄN</t>
        </is>
      </c>
      <c r="E1631" t="inlineStr">
        <is>
          <t>VÄNERSBORG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15583-2021</t>
        </is>
      </c>
      <c r="B1632" s="1" t="n">
        <v>44285.64561342593</v>
      </c>
      <c r="C1632" s="1" t="n">
        <v>46011</v>
      </c>
      <c r="D1632" t="inlineStr">
        <is>
          <t>VÄSTRA GÖTALANDS LÄN</t>
        </is>
      </c>
      <c r="E1632" t="inlineStr">
        <is>
          <t>BORÅS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69071-2021</t>
        </is>
      </c>
      <c r="B1633" s="1" t="n">
        <v>44530</v>
      </c>
      <c r="C1633" s="1" t="n">
        <v>46011</v>
      </c>
      <c r="D1633" t="inlineStr">
        <is>
          <t>VÄSTRA GÖTALANDS LÄN</t>
        </is>
      </c>
      <c r="E1633" t="inlineStr">
        <is>
          <t>TRANEMO</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25890-2021</t>
        </is>
      </c>
      <c r="B1634" s="1" t="n">
        <v>44344.38766203704</v>
      </c>
      <c r="C1634" s="1" t="n">
        <v>46011</v>
      </c>
      <c r="D1634" t="inlineStr">
        <is>
          <t>VÄSTRA GÖTALANDS LÄN</t>
        </is>
      </c>
      <c r="E1634" t="inlineStr">
        <is>
          <t>SVENLJUNGA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45980-2022</t>
        </is>
      </c>
      <c r="B1635" s="1" t="n">
        <v>44846</v>
      </c>
      <c r="C1635" s="1" t="n">
        <v>46011</v>
      </c>
      <c r="D1635" t="inlineStr">
        <is>
          <t>VÄSTRA GÖTALANDS LÄN</t>
        </is>
      </c>
      <c r="E1635" t="inlineStr">
        <is>
          <t>HJO</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330-2021</t>
        </is>
      </c>
      <c r="B1636" s="1" t="n">
        <v>44200</v>
      </c>
      <c r="C1636" s="1" t="n">
        <v>46011</v>
      </c>
      <c r="D1636" t="inlineStr">
        <is>
          <t>VÄSTRA GÖTALANDS LÄN</t>
        </is>
      </c>
      <c r="E1636" t="inlineStr">
        <is>
          <t>STRÖMSTAD</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4058-2021</t>
        </is>
      </c>
      <c r="B1637" s="1" t="n">
        <v>44222.6453125</v>
      </c>
      <c r="C1637" s="1" t="n">
        <v>46011</v>
      </c>
      <c r="D1637" t="inlineStr">
        <is>
          <t>VÄSTRA GÖTALANDS LÄN</t>
        </is>
      </c>
      <c r="E1637" t="inlineStr">
        <is>
          <t>VARA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25552-2021</t>
        </is>
      </c>
      <c r="B1638" s="1" t="n">
        <v>44342</v>
      </c>
      <c r="C1638" s="1" t="n">
        <v>46011</v>
      </c>
      <c r="D1638" t="inlineStr">
        <is>
          <t>VÄSTRA GÖTALANDS LÄN</t>
        </is>
      </c>
      <c r="E1638" t="inlineStr">
        <is>
          <t>VARA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25631-2021</t>
        </is>
      </c>
      <c r="B1639" s="1" t="n">
        <v>44343.5096412037</v>
      </c>
      <c r="C1639" s="1" t="n">
        <v>46011</v>
      </c>
      <c r="D1639" t="inlineStr">
        <is>
          <t>VÄSTRA GÖTALANDS LÄN</t>
        </is>
      </c>
      <c r="E1639" t="inlineStr">
        <is>
          <t>LILLA EDET</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3847-2022</t>
        </is>
      </c>
      <c r="B1640" s="1" t="n">
        <v>44587</v>
      </c>
      <c r="C1640" s="1" t="n">
        <v>46011</v>
      </c>
      <c r="D1640" t="inlineStr">
        <is>
          <t>VÄSTRA GÖTALANDS LÄN</t>
        </is>
      </c>
      <c r="E1640" t="inlineStr">
        <is>
          <t>TIDAHOLM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69099-2020</t>
        </is>
      </c>
      <c r="B1641" s="1" t="n">
        <v>44188</v>
      </c>
      <c r="C1641" s="1" t="n">
        <v>46011</v>
      </c>
      <c r="D1641" t="inlineStr">
        <is>
          <t>VÄSTRA GÖTALANDS LÄN</t>
        </is>
      </c>
      <c r="E1641" t="inlineStr">
        <is>
          <t>VARA</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10296-2021</t>
        </is>
      </c>
      <c r="B1642" s="1" t="n">
        <v>44257</v>
      </c>
      <c r="C1642" s="1" t="n">
        <v>46011</v>
      </c>
      <c r="D1642" t="inlineStr">
        <is>
          <t>VÄSTRA GÖTALANDS LÄN</t>
        </is>
      </c>
      <c r="E1642" t="inlineStr">
        <is>
          <t>TIBRO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10249-2021</t>
        </is>
      </c>
      <c r="B1643" s="1" t="n">
        <v>44256</v>
      </c>
      <c r="C1643" s="1" t="n">
        <v>46011</v>
      </c>
      <c r="D1643" t="inlineStr">
        <is>
          <t>VÄSTRA GÖTALANDS LÄN</t>
        </is>
      </c>
      <c r="E1643" t="inlineStr">
        <is>
          <t>STRÖMSTAD</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29334-2021</t>
        </is>
      </c>
      <c r="B1644" s="1" t="n">
        <v>44361.44</v>
      </c>
      <c r="C1644" s="1" t="n">
        <v>46011</v>
      </c>
      <c r="D1644" t="inlineStr">
        <is>
          <t>VÄSTRA GÖTALANDS LÄN</t>
        </is>
      </c>
      <c r="E1644" t="inlineStr">
        <is>
          <t>TANUM</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3378-2021</t>
        </is>
      </c>
      <c r="B1645" s="1" t="n">
        <v>44218</v>
      </c>
      <c r="C1645" s="1" t="n">
        <v>46011</v>
      </c>
      <c r="D1645" t="inlineStr">
        <is>
          <t>VÄSTRA GÖTALANDS LÄN</t>
        </is>
      </c>
      <c r="E1645" t="inlineStr">
        <is>
          <t>ULRICEHAMN</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789-2022</t>
        </is>
      </c>
      <c r="B1646" s="1" t="n">
        <v>44570.89018518518</v>
      </c>
      <c r="C1646" s="1" t="n">
        <v>46011</v>
      </c>
      <c r="D1646" t="inlineStr">
        <is>
          <t>VÄSTRA GÖTALANDS LÄN</t>
        </is>
      </c>
      <c r="E1646" t="inlineStr">
        <is>
          <t>BOLLEBYGD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4626-2021</t>
        </is>
      </c>
      <c r="B1647" s="1" t="n">
        <v>44224</v>
      </c>
      <c r="C1647" s="1" t="n">
        <v>46011</v>
      </c>
      <c r="D1647" t="inlineStr">
        <is>
          <t>VÄSTRA GÖTALANDS LÄN</t>
        </is>
      </c>
      <c r="E1647" t="inlineStr">
        <is>
          <t>BENGTSFORS</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45804-2022</t>
        </is>
      </c>
      <c r="B1648" s="1" t="n">
        <v>44846.46372685185</v>
      </c>
      <c r="C1648" s="1" t="n">
        <v>46011</v>
      </c>
      <c r="D1648" t="inlineStr">
        <is>
          <t>VÄSTRA GÖTALANDS LÄN</t>
        </is>
      </c>
      <c r="E1648" t="inlineStr">
        <is>
          <t>ÅMÅL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3562-2022</t>
        </is>
      </c>
      <c r="B1649" s="1" t="n">
        <v>44585</v>
      </c>
      <c r="C1649" s="1" t="n">
        <v>46011</v>
      </c>
      <c r="D1649" t="inlineStr">
        <is>
          <t>VÄSTRA GÖTALANDS LÄN</t>
        </is>
      </c>
      <c r="E1649" t="inlineStr">
        <is>
          <t>UDDEVALLA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42951-2022</t>
        </is>
      </c>
      <c r="B1650" s="1" t="n">
        <v>44832</v>
      </c>
      <c r="C1650" s="1" t="n">
        <v>46011</v>
      </c>
      <c r="D1650" t="inlineStr">
        <is>
          <t>VÄSTRA GÖTALANDS LÄN</t>
        </is>
      </c>
      <c r="E1650" t="inlineStr">
        <is>
          <t>DALS-ED</t>
        </is>
      </c>
      <c r="F1650" t="inlineStr">
        <is>
          <t>Kyrkan</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64466-2021</t>
        </is>
      </c>
      <c r="B1651" s="1" t="n">
        <v>44511.53631944444</v>
      </c>
      <c r="C1651" s="1" t="n">
        <v>46011</v>
      </c>
      <c r="D1651" t="inlineStr">
        <is>
          <t>VÄSTRA GÖTALANDS LÄN</t>
        </is>
      </c>
      <c r="E1651" t="inlineStr">
        <is>
          <t>BORÅS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64485-2021</t>
        </is>
      </c>
      <c r="B1652" s="1" t="n">
        <v>44511.56693287037</v>
      </c>
      <c r="C1652" s="1" t="n">
        <v>46011</v>
      </c>
      <c r="D1652" t="inlineStr">
        <is>
          <t>VÄSTRA GÖTALANDS LÄN</t>
        </is>
      </c>
      <c r="E1652" t="inlineStr">
        <is>
          <t>STRÖMSTAD</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29504-2021</t>
        </is>
      </c>
      <c r="B1653" s="1" t="n">
        <v>44361</v>
      </c>
      <c r="C1653" s="1" t="n">
        <v>46011</v>
      </c>
      <c r="D1653" t="inlineStr">
        <is>
          <t>VÄSTRA GÖTALANDS LÄN</t>
        </is>
      </c>
      <c r="E1653" t="inlineStr">
        <is>
          <t>TANUM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29537-2021</t>
        </is>
      </c>
      <c r="B1654" s="1" t="n">
        <v>44361</v>
      </c>
      <c r="C1654" s="1" t="n">
        <v>46011</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4816-2021</t>
        </is>
      </c>
      <c r="B1655" s="1" t="n">
        <v>44225</v>
      </c>
      <c r="C1655" s="1" t="n">
        <v>46011</v>
      </c>
      <c r="D1655" t="inlineStr">
        <is>
          <t>VÄSTRA GÖTALANDS LÄN</t>
        </is>
      </c>
      <c r="E1655" t="inlineStr">
        <is>
          <t>VÄNERSBORG</t>
        </is>
      </c>
      <c r="F1655" t="inlineStr">
        <is>
          <t>Bergvik skog väst AB</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2569-2022</t>
        </is>
      </c>
      <c r="B1656" s="1" t="n">
        <v>44579</v>
      </c>
      <c r="C1656" s="1" t="n">
        <v>46011</v>
      </c>
      <c r="D1656" t="inlineStr">
        <is>
          <t>VÄSTRA GÖTALANDS LÄN</t>
        </is>
      </c>
      <c r="E1656" t="inlineStr">
        <is>
          <t>GULLSPÅNG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2634-2022</t>
        </is>
      </c>
      <c r="B1657" s="1" t="n">
        <v>44580.49329861111</v>
      </c>
      <c r="C1657" s="1" t="n">
        <v>46011</v>
      </c>
      <c r="D1657" t="inlineStr">
        <is>
          <t>VÄSTRA GÖTALANDS LÄN</t>
        </is>
      </c>
      <c r="E1657" t="inlineStr">
        <is>
          <t>MUNKEDAL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561-2022</t>
        </is>
      </c>
      <c r="B1658" s="1" t="n">
        <v>44566</v>
      </c>
      <c r="C1658" s="1" t="n">
        <v>46011</v>
      </c>
      <c r="D1658" t="inlineStr">
        <is>
          <t>VÄSTRA GÖTALANDS LÄN</t>
        </is>
      </c>
      <c r="E1658" t="inlineStr">
        <is>
          <t>GÖTENE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564-2022</t>
        </is>
      </c>
      <c r="B1659" s="1" t="n">
        <v>44566.74335648148</v>
      </c>
      <c r="C1659" s="1" t="n">
        <v>46011</v>
      </c>
      <c r="D1659" t="inlineStr">
        <is>
          <t>VÄSTRA GÖTALANDS LÄN</t>
        </is>
      </c>
      <c r="E1659" t="inlineStr">
        <is>
          <t>ORUST</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7641-2021</t>
        </is>
      </c>
      <c r="B1660" s="1" t="n">
        <v>44242</v>
      </c>
      <c r="C1660" s="1" t="n">
        <v>46011</v>
      </c>
      <c r="D1660" t="inlineStr">
        <is>
          <t>VÄSTRA GÖTALANDS LÄN</t>
        </is>
      </c>
      <c r="E1660" t="inlineStr">
        <is>
          <t>SVENLJUNGA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65329-2021</t>
        </is>
      </c>
      <c r="B1661" s="1" t="n">
        <v>44515</v>
      </c>
      <c r="C1661" s="1" t="n">
        <v>46011</v>
      </c>
      <c r="D1661" t="inlineStr">
        <is>
          <t>VÄSTRA GÖTALANDS LÄN</t>
        </is>
      </c>
      <c r="E1661" t="inlineStr">
        <is>
          <t>HJO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9322-2022</t>
        </is>
      </c>
      <c r="B1662" s="1" t="n">
        <v>44616</v>
      </c>
      <c r="C1662" s="1" t="n">
        <v>46011</v>
      </c>
      <c r="D1662" t="inlineStr">
        <is>
          <t>VÄSTRA GÖTALANDS LÄN</t>
        </is>
      </c>
      <c r="E1662" t="inlineStr">
        <is>
          <t>TRANEMO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186-2022</t>
        </is>
      </c>
      <c r="B1663" s="1" t="n">
        <v>44563</v>
      </c>
      <c r="C1663" s="1" t="n">
        <v>46011</v>
      </c>
      <c r="D1663" t="inlineStr">
        <is>
          <t>VÄSTRA GÖTALANDS LÄN</t>
        </is>
      </c>
      <c r="E1663" t="inlineStr">
        <is>
          <t>MUNKEDAL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408-2022</t>
        </is>
      </c>
      <c r="B1664" s="1" t="n">
        <v>44565.72142361111</v>
      </c>
      <c r="C1664" s="1" t="n">
        <v>46011</v>
      </c>
      <c r="D1664" t="inlineStr">
        <is>
          <t>VÄSTRA GÖTALANDS LÄN</t>
        </is>
      </c>
      <c r="E1664" t="inlineStr">
        <is>
          <t>ULRICEHAMN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3253-2022</t>
        </is>
      </c>
      <c r="B1665" s="1" t="n">
        <v>44583.48859953704</v>
      </c>
      <c r="C1665" s="1" t="n">
        <v>46011</v>
      </c>
      <c r="D1665" t="inlineStr">
        <is>
          <t>VÄSTRA GÖTALANDS LÄN</t>
        </is>
      </c>
      <c r="E1665" t="inlineStr">
        <is>
          <t>TRANEMO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72362-2021</t>
        </is>
      </c>
      <c r="B1666" s="1" t="n">
        <v>44544</v>
      </c>
      <c r="C1666" s="1" t="n">
        <v>46011</v>
      </c>
      <c r="D1666" t="inlineStr">
        <is>
          <t>VÄSTRA GÖTALANDS LÄN</t>
        </is>
      </c>
      <c r="E1666" t="inlineStr">
        <is>
          <t>BORÅS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7422-2021</t>
        </is>
      </c>
      <c r="B1667" s="1" t="n">
        <v>44239</v>
      </c>
      <c r="C1667" s="1" t="n">
        <v>46011</v>
      </c>
      <c r="D1667" t="inlineStr">
        <is>
          <t>VÄSTRA GÖTALANDS LÄN</t>
        </is>
      </c>
      <c r="E1667" t="inlineStr">
        <is>
          <t>MELLERUD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2723-2021</t>
        </is>
      </c>
      <c r="B1668" s="1" t="n">
        <v>44215</v>
      </c>
      <c r="C1668" s="1" t="n">
        <v>46011</v>
      </c>
      <c r="D1668" t="inlineStr">
        <is>
          <t>VÄSTRA GÖTALANDS LÄN</t>
        </is>
      </c>
      <c r="E1668" t="inlineStr">
        <is>
          <t>BENGTSFORS</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478-2022</t>
        </is>
      </c>
      <c r="B1669" s="1" t="n">
        <v>44566</v>
      </c>
      <c r="C1669" s="1" t="n">
        <v>46011</v>
      </c>
      <c r="D1669" t="inlineStr">
        <is>
          <t>VÄSTRA GÖTALANDS LÄN</t>
        </is>
      </c>
      <c r="E1669" t="inlineStr">
        <is>
          <t>FÄRGELANDA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54486-2022</t>
        </is>
      </c>
      <c r="B1670" s="1" t="n">
        <v>44882.67047453704</v>
      </c>
      <c r="C1670" s="1" t="n">
        <v>46011</v>
      </c>
      <c r="D1670" t="inlineStr">
        <is>
          <t>VÄSTRA GÖTALANDS LÄN</t>
        </is>
      </c>
      <c r="E1670" t="inlineStr">
        <is>
          <t>ULRICEHAMN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56095-2022</t>
        </is>
      </c>
      <c r="B1671" s="1" t="n">
        <v>44889.64608796296</v>
      </c>
      <c r="C1671" s="1" t="n">
        <v>46011</v>
      </c>
      <c r="D1671" t="inlineStr">
        <is>
          <t>VÄSTRA GÖTALANDS LÄN</t>
        </is>
      </c>
      <c r="E1671" t="inlineStr">
        <is>
          <t>TIDAHOLM</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30997-2021</t>
        </is>
      </c>
      <c r="B1672" s="1" t="n">
        <v>44366.58707175926</v>
      </c>
      <c r="C1672" s="1" t="n">
        <v>46011</v>
      </c>
      <c r="D1672" t="inlineStr">
        <is>
          <t>VÄSTRA GÖTALANDS LÄN</t>
        </is>
      </c>
      <c r="E1672" t="inlineStr">
        <is>
          <t>TRANEMO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35897-2021</t>
        </is>
      </c>
      <c r="B1673" s="1" t="n">
        <v>44387</v>
      </c>
      <c r="C1673" s="1" t="n">
        <v>46011</v>
      </c>
      <c r="D1673" t="inlineStr">
        <is>
          <t>VÄSTRA GÖTALANDS LÄN</t>
        </is>
      </c>
      <c r="E1673" t="inlineStr">
        <is>
          <t>FÄRGELANDA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29824-2021</t>
        </is>
      </c>
      <c r="B1674" s="1" t="n">
        <v>44362.621875</v>
      </c>
      <c r="C1674" s="1" t="n">
        <v>46011</v>
      </c>
      <c r="D1674" t="inlineStr">
        <is>
          <t>VÄSTRA GÖTALANDS LÄN</t>
        </is>
      </c>
      <c r="E1674" t="inlineStr">
        <is>
          <t>ALINGSÅS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31002-2021</t>
        </is>
      </c>
      <c r="B1675" s="1" t="n">
        <v>44366</v>
      </c>
      <c r="C1675" s="1" t="n">
        <v>46011</v>
      </c>
      <c r="D1675" t="inlineStr">
        <is>
          <t>VÄSTRA GÖTALANDS LÄN</t>
        </is>
      </c>
      <c r="E1675" t="inlineStr">
        <is>
          <t>TRANEMO</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13366-2021</t>
        </is>
      </c>
      <c r="B1676" s="1" t="n">
        <v>44273.39503472222</v>
      </c>
      <c r="C1676" s="1" t="n">
        <v>46011</v>
      </c>
      <c r="D1676" t="inlineStr">
        <is>
          <t>VÄSTRA GÖTALANDS LÄN</t>
        </is>
      </c>
      <c r="E1676" t="inlineStr">
        <is>
          <t>MARK</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10622-2021</t>
        </is>
      </c>
      <c r="B1677" s="1" t="n">
        <v>44258</v>
      </c>
      <c r="C1677" s="1" t="n">
        <v>46011</v>
      </c>
      <c r="D1677" t="inlineStr">
        <is>
          <t>VÄSTRA GÖTALANDS LÄN</t>
        </is>
      </c>
      <c r="E1677" t="inlineStr">
        <is>
          <t>BENGTSFORS</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2671-2021</t>
        </is>
      </c>
      <c r="B1678" s="1" t="n">
        <v>44215</v>
      </c>
      <c r="C1678" s="1" t="n">
        <v>46011</v>
      </c>
      <c r="D1678" t="inlineStr">
        <is>
          <t>VÄSTRA GÖTALANDS LÄN</t>
        </is>
      </c>
      <c r="E1678" t="inlineStr">
        <is>
          <t>FALKÖPING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17812-2021</t>
        </is>
      </c>
      <c r="B1679" s="1" t="n">
        <v>44300</v>
      </c>
      <c r="C1679" s="1" t="n">
        <v>46011</v>
      </c>
      <c r="D1679" t="inlineStr">
        <is>
          <t>VÄSTRA GÖTALANDS LÄN</t>
        </is>
      </c>
      <c r="E1679" t="inlineStr">
        <is>
          <t>TIDAHOLM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10722-2021</t>
        </is>
      </c>
      <c r="B1680" s="1" t="n">
        <v>44258</v>
      </c>
      <c r="C1680" s="1" t="n">
        <v>46011</v>
      </c>
      <c r="D1680" t="inlineStr">
        <is>
          <t>VÄSTRA GÖTALANDS LÄN</t>
        </is>
      </c>
      <c r="E1680" t="inlineStr">
        <is>
          <t>MARK</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16430-2021</t>
        </is>
      </c>
      <c r="B1681" s="1" t="n">
        <v>44293</v>
      </c>
      <c r="C1681" s="1" t="n">
        <v>46011</v>
      </c>
      <c r="D1681" t="inlineStr">
        <is>
          <t>VÄSTRA GÖTALANDS LÄN</t>
        </is>
      </c>
      <c r="E1681" t="inlineStr">
        <is>
          <t>LIDKÖPING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12052-2021</t>
        </is>
      </c>
      <c r="B1682" s="1" t="n">
        <v>44266</v>
      </c>
      <c r="C1682" s="1" t="n">
        <v>46011</v>
      </c>
      <c r="D1682" t="inlineStr">
        <is>
          <t>VÄSTRA GÖTALANDS LÄN</t>
        </is>
      </c>
      <c r="E1682" t="inlineStr">
        <is>
          <t>DALS-ED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17452-2021</t>
        </is>
      </c>
      <c r="B1683" s="1" t="n">
        <v>44299</v>
      </c>
      <c r="C1683" s="1" t="n">
        <v>46011</v>
      </c>
      <c r="D1683" t="inlineStr">
        <is>
          <t>VÄSTRA GÖTALANDS LÄN</t>
        </is>
      </c>
      <c r="E1683" t="inlineStr">
        <is>
          <t>FÄRGELANDA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33259-2021</t>
        </is>
      </c>
      <c r="B1684" s="1" t="n">
        <v>44377</v>
      </c>
      <c r="C1684" s="1" t="n">
        <v>46011</v>
      </c>
      <c r="D1684" t="inlineStr">
        <is>
          <t>VÄSTRA GÖTALANDS LÄN</t>
        </is>
      </c>
      <c r="E1684" t="inlineStr">
        <is>
          <t>TANUM</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2687-2021</t>
        </is>
      </c>
      <c r="B1685" s="1" t="n">
        <v>44215.53665509259</v>
      </c>
      <c r="C1685" s="1" t="n">
        <v>46011</v>
      </c>
      <c r="D1685" t="inlineStr">
        <is>
          <t>VÄSTRA GÖTALANDS LÄN</t>
        </is>
      </c>
      <c r="E1685" t="inlineStr">
        <is>
          <t>VÅRGÅRDA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41122-2021</t>
        </is>
      </c>
      <c r="B1686" s="1" t="n">
        <v>44423.6921875</v>
      </c>
      <c r="C1686" s="1" t="n">
        <v>46011</v>
      </c>
      <c r="D1686" t="inlineStr">
        <is>
          <t>VÄSTRA GÖTALANDS LÄN</t>
        </is>
      </c>
      <c r="E1686" t="inlineStr">
        <is>
          <t>TRANEMO</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17757-2021</t>
        </is>
      </c>
      <c r="B1687" s="1" t="n">
        <v>44299</v>
      </c>
      <c r="C1687" s="1" t="n">
        <v>46011</v>
      </c>
      <c r="D1687" t="inlineStr">
        <is>
          <t>VÄSTRA GÖTALANDS LÄN</t>
        </is>
      </c>
      <c r="E1687" t="inlineStr">
        <is>
          <t>VARA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608-2022</t>
        </is>
      </c>
      <c r="B1688" s="1" t="n">
        <v>44567</v>
      </c>
      <c r="C1688" s="1" t="n">
        <v>46011</v>
      </c>
      <c r="D1688" t="inlineStr">
        <is>
          <t>VÄSTRA GÖTALANDS LÄN</t>
        </is>
      </c>
      <c r="E1688" t="inlineStr">
        <is>
          <t>SKÖVDE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11768-2021</t>
        </is>
      </c>
      <c r="B1689" s="1" t="n">
        <v>44265.43287037037</v>
      </c>
      <c r="C1689" s="1" t="n">
        <v>46011</v>
      </c>
      <c r="D1689" t="inlineStr">
        <is>
          <t>VÄSTRA GÖTALANDS LÄN</t>
        </is>
      </c>
      <c r="E1689" t="inlineStr">
        <is>
          <t>FÄRGELANDA</t>
        </is>
      </c>
      <c r="F1689" t="inlineStr">
        <is>
          <t>Kommuner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54871-2022</t>
        </is>
      </c>
      <c r="B1690" s="1" t="n">
        <v>44886.31664351852</v>
      </c>
      <c r="C1690" s="1" t="n">
        <v>46011</v>
      </c>
      <c r="D1690" t="inlineStr">
        <is>
          <t>VÄSTRA GÖTALANDS LÄN</t>
        </is>
      </c>
      <c r="E1690" t="inlineStr">
        <is>
          <t>BORÅS</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17180-2021</t>
        </is>
      </c>
      <c r="B1691" s="1" t="n">
        <v>44298.46679398148</v>
      </c>
      <c r="C1691" s="1" t="n">
        <v>46011</v>
      </c>
      <c r="D1691" t="inlineStr">
        <is>
          <t>VÄSTRA GÖTALANDS LÄN</t>
        </is>
      </c>
      <c r="E1691" t="inlineStr">
        <is>
          <t>LILLA EDET</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17193-2021</t>
        </is>
      </c>
      <c r="B1692" s="1" t="n">
        <v>44298.47568287037</v>
      </c>
      <c r="C1692" s="1" t="n">
        <v>46011</v>
      </c>
      <c r="D1692" t="inlineStr">
        <is>
          <t>VÄSTRA GÖTALANDS LÄN</t>
        </is>
      </c>
      <c r="E1692" t="inlineStr">
        <is>
          <t>DALS-ED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40627-2021</t>
        </is>
      </c>
      <c r="B1693" s="1" t="n">
        <v>44420</v>
      </c>
      <c r="C1693" s="1" t="n">
        <v>46011</v>
      </c>
      <c r="D1693" t="inlineStr">
        <is>
          <t>VÄSTRA GÖTALANDS LÄN</t>
        </is>
      </c>
      <c r="E1693" t="inlineStr">
        <is>
          <t>TIDAHOLM</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13411-2022</t>
        </is>
      </c>
      <c r="B1694" s="1" t="n">
        <v>44645.54630787037</v>
      </c>
      <c r="C1694" s="1" t="n">
        <v>46011</v>
      </c>
      <c r="D1694" t="inlineStr">
        <is>
          <t>VÄSTRA GÖTALANDS LÄN</t>
        </is>
      </c>
      <c r="E1694" t="inlineStr">
        <is>
          <t>LERUM</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55330-2022</t>
        </is>
      </c>
      <c r="B1695" s="1" t="n">
        <v>44887.43643518518</v>
      </c>
      <c r="C1695" s="1" t="n">
        <v>46011</v>
      </c>
      <c r="D1695" t="inlineStr">
        <is>
          <t>VÄSTRA GÖTALANDS LÄN</t>
        </is>
      </c>
      <c r="E1695" t="inlineStr">
        <is>
          <t>BORÅS</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55376-2022</t>
        </is>
      </c>
      <c r="B1696" s="1" t="n">
        <v>44887.52715277778</v>
      </c>
      <c r="C1696" s="1" t="n">
        <v>46011</v>
      </c>
      <c r="D1696" t="inlineStr">
        <is>
          <t>VÄSTRA GÖTALANDS LÄN</t>
        </is>
      </c>
      <c r="E1696" t="inlineStr">
        <is>
          <t>TRANEMO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11200-2021</t>
        </is>
      </c>
      <c r="B1697" s="1" t="n">
        <v>44263</v>
      </c>
      <c r="C1697" s="1" t="n">
        <v>46011</v>
      </c>
      <c r="D1697" t="inlineStr">
        <is>
          <t>VÄSTRA GÖTALANDS LÄN</t>
        </is>
      </c>
      <c r="E1697" t="inlineStr">
        <is>
          <t>TÖREBODA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12846-2021</t>
        </is>
      </c>
      <c r="B1698" s="1" t="n">
        <v>44270</v>
      </c>
      <c r="C1698" s="1" t="n">
        <v>46011</v>
      </c>
      <c r="D1698" t="inlineStr">
        <is>
          <t>VÄSTRA GÖTALANDS LÄN</t>
        </is>
      </c>
      <c r="E1698" t="inlineStr">
        <is>
          <t>GRÄSTORP</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50370-2021</t>
        </is>
      </c>
      <c r="B1699" s="1" t="n">
        <v>44456</v>
      </c>
      <c r="C1699" s="1" t="n">
        <v>46011</v>
      </c>
      <c r="D1699" t="inlineStr">
        <is>
          <t>VÄSTRA GÖTALANDS LÄN</t>
        </is>
      </c>
      <c r="E1699" t="inlineStr">
        <is>
          <t>MELLERUD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18086-2022</t>
        </is>
      </c>
      <c r="B1700" s="1" t="n">
        <v>44684</v>
      </c>
      <c r="C1700" s="1" t="n">
        <v>46011</v>
      </c>
      <c r="D1700" t="inlineStr">
        <is>
          <t>VÄSTRA GÖTALANDS LÄN</t>
        </is>
      </c>
      <c r="E1700" t="inlineStr">
        <is>
          <t>FÄRGELANDA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12631-2022</t>
        </is>
      </c>
      <c r="B1701" s="1" t="n">
        <v>44641.43099537037</v>
      </c>
      <c r="C1701" s="1" t="n">
        <v>46011</v>
      </c>
      <c r="D1701" t="inlineStr">
        <is>
          <t>VÄSTRA GÖTALANDS LÄN</t>
        </is>
      </c>
      <c r="E1701" t="inlineStr">
        <is>
          <t>ESSUNGA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14349-2021</t>
        </is>
      </c>
      <c r="B1702" s="1" t="n">
        <v>44278</v>
      </c>
      <c r="C1702" s="1" t="n">
        <v>46011</v>
      </c>
      <c r="D1702" t="inlineStr">
        <is>
          <t>VÄSTRA GÖTALANDS LÄN</t>
        </is>
      </c>
      <c r="E1702" t="inlineStr">
        <is>
          <t>HÄRRYDA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18195-2021</t>
        </is>
      </c>
      <c r="B1703" s="1" t="n">
        <v>44302</v>
      </c>
      <c r="C1703" s="1" t="n">
        <v>46011</v>
      </c>
      <c r="D1703" t="inlineStr">
        <is>
          <t>VÄSTRA GÖTALANDS LÄN</t>
        </is>
      </c>
      <c r="E1703" t="inlineStr">
        <is>
          <t>BENGTSFORS</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18124-2022</t>
        </is>
      </c>
      <c r="B1704" s="1" t="n">
        <v>44684</v>
      </c>
      <c r="C1704" s="1" t="n">
        <v>46011</v>
      </c>
      <c r="D1704" t="inlineStr">
        <is>
          <t>VÄSTRA GÖTALANDS LÄN</t>
        </is>
      </c>
      <c r="E1704" t="inlineStr">
        <is>
          <t>GÖTENE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18139-2022</t>
        </is>
      </c>
      <c r="B1705" s="1" t="n">
        <v>44684.5827662037</v>
      </c>
      <c r="C1705" s="1" t="n">
        <v>46011</v>
      </c>
      <c r="D1705" t="inlineStr">
        <is>
          <t>VÄSTRA GÖTALANDS LÄN</t>
        </is>
      </c>
      <c r="E1705" t="inlineStr">
        <is>
          <t>MARK</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45210-2021</t>
        </is>
      </c>
      <c r="B1706" s="1" t="n">
        <v>44439.56074074074</v>
      </c>
      <c r="C1706" s="1" t="n">
        <v>46011</v>
      </c>
      <c r="D1706" t="inlineStr">
        <is>
          <t>VÄSTRA GÖTALANDS LÄN</t>
        </is>
      </c>
      <c r="E1706" t="inlineStr">
        <is>
          <t>SVENLJUNGA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17771-2021</t>
        </is>
      </c>
      <c r="B1707" s="1" t="n">
        <v>44300</v>
      </c>
      <c r="C1707" s="1" t="n">
        <v>46011</v>
      </c>
      <c r="D1707" t="inlineStr">
        <is>
          <t>VÄSTRA GÖTALANDS LÄN</t>
        </is>
      </c>
      <c r="E1707" t="inlineStr">
        <is>
          <t>FALKÖPING</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10766-2021</t>
        </is>
      </c>
      <c r="B1708" s="1" t="n">
        <v>44259</v>
      </c>
      <c r="C1708" s="1" t="n">
        <v>46011</v>
      </c>
      <c r="D1708" t="inlineStr">
        <is>
          <t>VÄSTRA GÖTALANDS LÄN</t>
        </is>
      </c>
      <c r="E1708" t="inlineStr">
        <is>
          <t>UDDEVALLA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30060-2021</t>
        </is>
      </c>
      <c r="B1709" s="1" t="n">
        <v>44363.47837962963</v>
      </c>
      <c r="C1709" s="1" t="n">
        <v>46011</v>
      </c>
      <c r="D1709" t="inlineStr">
        <is>
          <t>VÄSTRA GÖTALANDS LÄN</t>
        </is>
      </c>
      <c r="E1709" t="inlineStr">
        <is>
          <t>SKARA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5011-2021</t>
        </is>
      </c>
      <c r="B1710" s="1" t="n">
        <v>44228.45335648148</v>
      </c>
      <c r="C1710" s="1" t="n">
        <v>46011</v>
      </c>
      <c r="D1710" t="inlineStr">
        <is>
          <t>VÄSTRA GÖTALANDS LÄN</t>
        </is>
      </c>
      <c r="E1710" t="inlineStr">
        <is>
          <t>FALKÖPING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21447-2022</t>
        </is>
      </c>
      <c r="B1711" s="1" t="n">
        <v>44706.3594212963</v>
      </c>
      <c r="C1711" s="1" t="n">
        <v>46011</v>
      </c>
      <c r="D1711" t="inlineStr">
        <is>
          <t>VÄSTRA GÖTALANDS LÄN</t>
        </is>
      </c>
      <c r="E1711" t="inlineStr">
        <is>
          <t>SVENLJUNGA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2718-2021</t>
        </is>
      </c>
      <c r="B1712" s="1" t="n">
        <v>44215</v>
      </c>
      <c r="C1712" s="1" t="n">
        <v>46011</v>
      </c>
      <c r="D1712" t="inlineStr">
        <is>
          <t>VÄSTRA GÖTALANDS LÄN</t>
        </is>
      </c>
      <c r="E1712" t="inlineStr">
        <is>
          <t>BORÅS</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26593-2021</t>
        </is>
      </c>
      <c r="B1713" s="1" t="n">
        <v>44348.60203703704</v>
      </c>
      <c r="C1713" s="1" t="n">
        <v>46011</v>
      </c>
      <c r="D1713" t="inlineStr">
        <is>
          <t>VÄSTRA GÖTALANDS LÄN</t>
        </is>
      </c>
      <c r="E1713" t="inlineStr">
        <is>
          <t>TRANEMO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26636-2021</t>
        </is>
      </c>
      <c r="B1714" s="1" t="n">
        <v>44348.69945601852</v>
      </c>
      <c r="C1714" s="1" t="n">
        <v>46011</v>
      </c>
      <c r="D1714" t="inlineStr">
        <is>
          <t>VÄSTRA GÖTALANDS LÄN</t>
        </is>
      </c>
      <c r="E1714" t="inlineStr">
        <is>
          <t>ALINGSÅS</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3356-2021</t>
        </is>
      </c>
      <c r="B1715" s="1" t="n">
        <v>44218</v>
      </c>
      <c r="C1715" s="1" t="n">
        <v>46011</v>
      </c>
      <c r="D1715" t="inlineStr">
        <is>
          <t>VÄSTRA GÖTALANDS LÄN</t>
        </is>
      </c>
      <c r="E1715" t="inlineStr">
        <is>
          <t>SVENLJUNGA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24637-2022</t>
        </is>
      </c>
      <c r="B1716" s="1" t="n">
        <v>44727</v>
      </c>
      <c r="C1716" s="1" t="n">
        <v>46011</v>
      </c>
      <c r="D1716" t="inlineStr">
        <is>
          <t>VÄSTRA GÖTALANDS LÄN</t>
        </is>
      </c>
      <c r="E1716" t="inlineStr">
        <is>
          <t>BOLLEBYGD</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1326-2021</t>
        </is>
      </c>
      <c r="B1717" s="1" t="n">
        <v>44208</v>
      </c>
      <c r="C1717" s="1" t="n">
        <v>46011</v>
      </c>
      <c r="D1717" t="inlineStr">
        <is>
          <t>VÄSTRA GÖTALANDS LÄN</t>
        </is>
      </c>
      <c r="E1717" t="inlineStr">
        <is>
          <t>MARK</t>
        </is>
      </c>
      <c r="G1717" t="n">
        <v>13.1</v>
      </c>
      <c r="H1717" t="n">
        <v>0</v>
      </c>
      <c r="I1717" t="n">
        <v>0</v>
      </c>
      <c r="J1717" t="n">
        <v>0</v>
      </c>
      <c r="K1717" t="n">
        <v>0</v>
      </c>
      <c r="L1717" t="n">
        <v>0</v>
      </c>
      <c r="M1717" t="n">
        <v>0</v>
      </c>
      <c r="N1717" t="n">
        <v>0</v>
      </c>
      <c r="O1717" t="n">
        <v>0</v>
      </c>
      <c r="P1717" t="n">
        <v>0</v>
      </c>
      <c r="Q1717" t="n">
        <v>0</v>
      </c>
      <c r="R1717" s="2" t="inlineStr"/>
    </row>
    <row r="1718" ht="15" customHeight="1">
      <c r="A1718" t="inlineStr">
        <is>
          <t>A 21774-2021</t>
        </is>
      </c>
      <c r="B1718" s="1" t="n">
        <v>44322</v>
      </c>
      <c r="C1718" s="1" t="n">
        <v>46011</v>
      </c>
      <c r="D1718" t="inlineStr">
        <is>
          <t>VÄSTRA GÖTALANDS LÄN</t>
        </is>
      </c>
      <c r="E1718" t="inlineStr">
        <is>
          <t>FALKÖPING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5159-2021</t>
        </is>
      </c>
      <c r="B1719" s="1" t="n">
        <v>44228.65283564815</v>
      </c>
      <c r="C1719" s="1" t="n">
        <v>46011</v>
      </c>
      <c r="D1719" t="inlineStr">
        <is>
          <t>VÄSTRA GÖTALANDS LÄN</t>
        </is>
      </c>
      <c r="E1719" t="inlineStr">
        <is>
          <t>BENGTSFORS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30687-2021</t>
        </is>
      </c>
      <c r="B1720" s="1" t="n">
        <v>44365.40762731482</v>
      </c>
      <c r="C1720" s="1" t="n">
        <v>46011</v>
      </c>
      <c r="D1720" t="inlineStr">
        <is>
          <t>VÄSTRA GÖTALANDS LÄN</t>
        </is>
      </c>
      <c r="E1720" t="inlineStr">
        <is>
          <t>SKARA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47692-2021</t>
        </is>
      </c>
      <c r="B1721" s="1" t="n">
        <v>44448</v>
      </c>
      <c r="C1721" s="1" t="n">
        <v>46011</v>
      </c>
      <c r="D1721" t="inlineStr">
        <is>
          <t>VÄSTRA GÖTALANDS LÄN</t>
        </is>
      </c>
      <c r="E1721" t="inlineStr">
        <is>
          <t>KARLSBORG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14716-2021</t>
        </is>
      </c>
      <c r="B1722" s="1" t="n">
        <v>44280</v>
      </c>
      <c r="C1722" s="1" t="n">
        <v>46011</v>
      </c>
      <c r="D1722" t="inlineStr">
        <is>
          <t>VÄSTRA GÖTALANDS LÄN</t>
        </is>
      </c>
      <c r="E1722" t="inlineStr">
        <is>
          <t>LILLA EDET</t>
        </is>
      </c>
      <c r="F1722" t="inlineStr">
        <is>
          <t>Kommuner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43328-2021</t>
        </is>
      </c>
      <c r="B1723" s="1" t="n">
        <v>44431</v>
      </c>
      <c r="C1723" s="1" t="n">
        <v>46011</v>
      </c>
      <c r="D1723" t="inlineStr">
        <is>
          <t>VÄSTRA GÖTALANDS LÄN</t>
        </is>
      </c>
      <c r="E1723" t="inlineStr">
        <is>
          <t>TIDAHOLM</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63068-2021</t>
        </is>
      </c>
      <c r="B1724" s="1" t="n">
        <v>44505</v>
      </c>
      <c r="C1724" s="1" t="n">
        <v>46011</v>
      </c>
      <c r="D1724" t="inlineStr">
        <is>
          <t>VÄSTRA GÖTALANDS LÄN</t>
        </is>
      </c>
      <c r="E1724" t="inlineStr">
        <is>
          <t>BENGTSFORS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28186-2021</t>
        </is>
      </c>
      <c r="B1725" s="1" t="n">
        <v>44355</v>
      </c>
      <c r="C1725" s="1" t="n">
        <v>46011</v>
      </c>
      <c r="D1725" t="inlineStr">
        <is>
          <t>VÄSTRA GÖTALANDS LÄN</t>
        </is>
      </c>
      <c r="E1725" t="inlineStr">
        <is>
          <t>UDDEVALLA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28231-2021</t>
        </is>
      </c>
      <c r="B1726" s="1" t="n">
        <v>44355</v>
      </c>
      <c r="C1726" s="1" t="n">
        <v>46011</v>
      </c>
      <c r="D1726" t="inlineStr">
        <is>
          <t>VÄSTRA GÖTALANDS LÄN</t>
        </is>
      </c>
      <c r="E1726" t="inlineStr">
        <is>
          <t>GÖTENE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23800-2022</t>
        </is>
      </c>
      <c r="B1727" s="1" t="n">
        <v>44722</v>
      </c>
      <c r="C1727" s="1" t="n">
        <v>46011</v>
      </c>
      <c r="D1727" t="inlineStr">
        <is>
          <t>VÄSTRA GÖTALANDS LÄN</t>
        </is>
      </c>
      <c r="E1727" t="inlineStr">
        <is>
          <t>TANUM</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33957-2022</t>
        </is>
      </c>
      <c r="B1728" s="1" t="n">
        <v>44790.6769212963</v>
      </c>
      <c r="C1728" s="1" t="n">
        <v>46011</v>
      </c>
      <c r="D1728" t="inlineStr">
        <is>
          <t>VÄSTRA GÖTALANDS LÄN</t>
        </is>
      </c>
      <c r="E1728" t="inlineStr">
        <is>
          <t>HERRLJUNGA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28233-2021</t>
        </is>
      </c>
      <c r="B1729" s="1" t="n">
        <v>44355</v>
      </c>
      <c r="C1729" s="1" t="n">
        <v>46011</v>
      </c>
      <c r="D1729" t="inlineStr">
        <is>
          <t>VÄSTRA GÖTALANDS LÄN</t>
        </is>
      </c>
      <c r="E1729" t="inlineStr">
        <is>
          <t>GÖTENE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23365-2021</t>
        </is>
      </c>
      <c r="B1730" s="1" t="n">
        <v>44333</v>
      </c>
      <c r="C1730" s="1" t="n">
        <v>46011</v>
      </c>
      <c r="D1730" t="inlineStr">
        <is>
          <t>VÄSTRA GÖTALANDS LÄN</t>
        </is>
      </c>
      <c r="E1730" t="inlineStr">
        <is>
          <t>LYSEKIL</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46068-2021</t>
        </is>
      </c>
      <c r="B1731" s="1" t="n">
        <v>44441</v>
      </c>
      <c r="C1731" s="1" t="n">
        <v>46011</v>
      </c>
      <c r="D1731" t="inlineStr">
        <is>
          <t>VÄSTRA GÖTALANDS LÄN</t>
        </is>
      </c>
      <c r="E1731" t="inlineStr">
        <is>
          <t>MUNKEDAL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53672-2021</t>
        </is>
      </c>
      <c r="B1732" s="1" t="n">
        <v>44469.45305555555</v>
      </c>
      <c r="C1732" s="1" t="n">
        <v>46011</v>
      </c>
      <c r="D1732" t="inlineStr">
        <is>
          <t>VÄSTRA GÖTALANDS LÄN</t>
        </is>
      </c>
      <c r="E1732" t="inlineStr">
        <is>
          <t>MELLERUD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53700-2021</t>
        </is>
      </c>
      <c r="B1733" s="1" t="n">
        <v>44469.47734953704</v>
      </c>
      <c r="C1733" s="1" t="n">
        <v>46011</v>
      </c>
      <c r="D1733" t="inlineStr">
        <is>
          <t>VÄSTRA GÖTALANDS LÄN</t>
        </is>
      </c>
      <c r="E1733" t="inlineStr">
        <is>
          <t>KARLSBORG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4892-2022</t>
        </is>
      </c>
      <c r="B1734" s="1" t="n">
        <v>44593.37697916666</v>
      </c>
      <c r="C1734" s="1" t="n">
        <v>46011</v>
      </c>
      <c r="D1734" t="inlineStr">
        <is>
          <t>VÄSTRA GÖTALANDS LÄN</t>
        </is>
      </c>
      <c r="E1734" t="inlineStr">
        <is>
          <t>FÄRGELANDA</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35768-2021</t>
        </is>
      </c>
      <c r="B1735" s="1" t="n">
        <v>44386</v>
      </c>
      <c r="C1735" s="1" t="n">
        <v>46011</v>
      </c>
      <c r="D1735" t="inlineStr">
        <is>
          <t>VÄSTRA GÖTALANDS LÄN</t>
        </is>
      </c>
      <c r="E1735" t="inlineStr">
        <is>
          <t>SKARA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18287-2021</t>
        </is>
      </c>
      <c r="B1736" s="1" t="n">
        <v>44305</v>
      </c>
      <c r="C1736" s="1" t="n">
        <v>46011</v>
      </c>
      <c r="D1736" t="inlineStr">
        <is>
          <t>VÄSTRA GÖTALANDS LÄN</t>
        </is>
      </c>
      <c r="E1736" t="inlineStr">
        <is>
          <t>MELLERUD</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9528-2022</t>
        </is>
      </c>
      <c r="B1737" s="1" t="n">
        <v>44617</v>
      </c>
      <c r="C1737" s="1" t="n">
        <v>46011</v>
      </c>
      <c r="D1737" t="inlineStr">
        <is>
          <t>VÄSTRA GÖTALANDS LÄN</t>
        </is>
      </c>
      <c r="E1737" t="inlineStr">
        <is>
          <t>LIDKÖPING</t>
        </is>
      </c>
      <c r="G1737" t="n">
        <v>20.3</v>
      </c>
      <c r="H1737" t="n">
        <v>0</v>
      </c>
      <c r="I1737" t="n">
        <v>0</v>
      </c>
      <c r="J1737" t="n">
        <v>0</v>
      </c>
      <c r="K1737" t="n">
        <v>0</v>
      </c>
      <c r="L1737" t="n">
        <v>0</v>
      </c>
      <c r="M1737" t="n">
        <v>0</v>
      </c>
      <c r="N1737" t="n">
        <v>0</v>
      </c>
      <c r="O1737" t="n">
        <v>0</v>
      </c>
      <c r="P1737" t="n">
        <v>0</v>
      </c>
      <c r="Q1737" t="n">
        <v>0</v>
      </c>
      <c r="R1737" s="2" t="inlineStr"/>
    </row>
    <row r="1738" ht="15" customHeight="1">
      <c r="A1738" t="inlineStr">
        <is>
          <t>A 3244-2022</t>
        </is>
      </c>
      <c r="B1738" s="1" t="n">
        <v>44582</v>
      </c>
      <c r="C1738" s="1" t="n">
        <v>46011</v>
      </c>
      <c r="D1738" t="inlineStr">
        <is>
          <t>VÄSTRA GÖTALANDS LÄN</t>
        </is>
      </c>
      <c r="E1738" t="inlineStr">
        <is>
          <t>STENUNGSUND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24151-2022</t>
        </is>
      </c>
      <c r="B1739" s="1" t="n">
        <v>44725</v>
      </c>
      <c r="C1739" s="1" t="n">
        <v>46011</v>
      </c>
      <c r="D1739" t="inlineStr">
        <is>
          <t>VÄSTRA GÖTALANDS LÄN</t>
        </is>
      </c>
      <c r="E1739" t="inlineStr">
        <is>
          <t>MARK</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29341-2022</t>
        </is>
      </c>
      <c r="B1740" s="1" t="n">
        <v>44752.93924768519</v>
      </c>
      <c r="C1740" s="1" t="n">
        <v>46011</v>
      </c>
      <c r="D1740" t="inlineStr">
        <is>
          <t>VÄSTRA GÖTALANDS LÄN</t>
        </is>
      </c>
      <c r="E1740" t="inlineStr">
        <is>
          <t>MELLERUD</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29352-2022</t>
        </is>
      </c>
      <c r="B1741" s="1" t="n">
        <v>44753.35193287037</v>
      </c>
      <c r="C1741" s="1" t="n">
        <v>46011</v>
      </c>
      <c r="D1741" t="inlineStr">
        <is>
          <t>VÄSTRA GÖTALANDS LÄN</t>
        </is>
      </c>
      <c r="E1741" t="inlineStr">
        <is>
          <t>VÄNERSBORG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54197-2021</t>
        </is>
      </c>
      <c r="B1742" s="1" t="n">
        <v>44470</v>
      </c>
      <c r="C1742" s="1" t="n">
        <v>46011</v>
      </c>
      <c r="D1742" t="inlineStr">
        <is>
          <t>VÄSTRA GÖTALANDS LÄN</t>
        </is>
      </c>
      <c r="E1742" t="inlineStr">
        <is>
          <t>TANUM</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24135-2022</t>
        </is>
      </c>
      <c r="B1743" s="1" t="n">
        <v>44725</v>
      </c>
      <c r="C1743" s="1" t="n">
        <v>46011</v>
      </c>
      <c r="D1743" t="inlineStr">
        <is>
          <t>VÄSTRA GÖTALANDS LÄN</t>
        </is>
      </c>
      <c r="E1743" t="inlineStr">
        <is>
          <t>SVENLJUNGA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19714-2021</t>
        </is>
      </c>
      <c r="B1744" s="1" t="n">
        <v>44312</v>
      </c>
      <c r="C1744" s="1" t="n">
        <v>46011</v>
      </c>
      <c r="D1744" t="inlineStr">
        <is>
          <t>VÄSTRA GÖTALANDS LÄN</t>
        </is>
      </c>
      <c r="E1744" t="inlineStr">
        <is>
          <t>TRANEMO</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39730-2021</t>
        </is>
      </c>
      <c r="B1745" s="1" t="n">
        <v>44417.48297453704</v>
      </c>
      <c r="C1745" s="1" t="n">
        <v>46011</v>
      </c>
      <c r="D1745" t="inlineStr">
        <is>
          <t>VÄSTRA GÖTALANDS LÄN</t>
        </is>
      </c>
      <c r="E1745" t="inlineStr">
        <is>
          <t>HERRLJUNGA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35927-2021</t>
        </is>
      </c>
      <c r="B1746" s="1" t="n">
        <v>44388.52203703704</v>
      </c>
      <c r="C1746" s="1" t="n">
        <v>46011</v>
      </c>
      <c r="D1746" t="inlineStr">
        <is>
          <t>VÄSTRA GÖTALANDS LÄN</t>
        </is>
      </c>
      <c r="E1746" t="inlineStr">
        <is>
          <t>STENUNGSUND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13413-2021</t>
        </is>
      </c>
      <c r="B1747" s="1" t="n">
        <v>44273</v>
      </c>
      <c r="C1747" s="1" t="n">
        <v>46011</v>
      </c>
      <c r="D1747" t="inlineStr">
        <is>
          <t>VÄSTRA GÖTALANDS LÄN</t>
        </is>
      </c>
      <c r="E1747" t="inlineStr">
        <is>
          <t>DALS-ED</t>
        </is>
      </c>
      <c r="F1747" t="inlineStr">
        <is>
          <t>Övriga Aktiebolag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21436-2021</t>
        </is>
      </c>
      <c r="B1748" s="1" t="n">
        <v>44318</v>
      </c>
      <c r="C1748" s="1" t="n">
        <v>46011</v>
      </c>
      <c r="D1748" t="inlineStr">
        <is>
          <t>VÄSTRA GÖTALANDS LÄN</t>
        </is>
      </c>
      <c r="E1748" t="inlineStr">
        <is>
          <t>TIBRO</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13461-2021</t>
        </is>
      </c>
      <c r="B1749" s="1" t="n">
        <v>44273.60354166666</v>
      </c>
      <c r="C1749" s="1" t="n">
        <v>46011</v>
      </c>
      <c r="D1749" t="inlineStr">
        <is>
          <t>VÄSTRA GÖTALANDS LÄN</t>
        </is>
      </c>
      <c r="E1749" t="inlineStr">
        <is>
          <t>TIBRO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22704-2021</t>
        </is>
      </c>
      <c r="B1750" s="1" t="n">
        <v>44327.60472222222</v>
      </c>
      <c r="C1750" s="1" t="n">
        <v>46011</v>
      </c>
      <c r="D1750" t="inlineStr">
        <is>
          <t>VÄSTRA GÖTALANDS LÄN</t>
        </is>
      </c>
      <c r="E1750" t="inlineStr">
        <is>
          <t>TRANEMO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17156-2021</t>
        </is>
      </c>
      <c r="B1751" s="1" t="n">
        <v>44298.44777777778</v>
      </c>
      <c r="C1751" s="1" t="n">
        <v>46011</v>
      </c>
      <c r="D1751" t="inlineStr">
        <is>
          <t>VÄSTRA GÖTALANDS LÄN</t>
        </is>
      </c>
      <c r="E1751" t="inlineStr">
        <is>
          <t>DALS-ED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16663-2021</t>
        </is>
      </c>
      <c r="B1752" s="1" t="n">
        <v>44294</v>
      </c>
      <c r="C1752" s="1" t="n">
        <v>46011</v>
      </c>
      <c r="D1752" t="inlineStr">
        <is>
          <t>VÄSTRA GÖTALANDS LÄN</t>
        </is>
      </c>
      <c r="E1752" t="inlineStr">
        <is>
          <t>GÖTEBORG</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21470-2021</t>
        </is>
      </c>
      <c r="B1753" s="1" t="n">
        <v>44321.48512731482</v>
      </c>
      <c r="C1753" s="1" t="n">
        <v>46011</v>
      </c>
      <c r="D1753" t="inlineStr">
        <is>
          <t>VÄSTRA GÖTALANDS LÄN</t>
        </is>
      </c>
      <c r="E1753" t="inlineStr">
        <is>
          <t>BENGTSFORS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17194-2022</t>
        </is>
      </c>
      <c r="B1754" s="1" t="n">
        <v>44677</v>
      </c>
      <c r="C1754" s="1" t="n">
        <v>46011</v>
      </c>
      <c r="D1754" t="inlineStr">
        <is>
          <t>VÄSTRA GÖTALANDS LÄN</t>
        </is>
      </c>
      <c r="E1754" t="inlineStr">
        <is>
          <t>TROLLHÄTTAN</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17201-2022</t>
        </is>
      </c>
      <c r="B1755" s="1" t="n">
        <v>44677</v>
      </c>
      <c r="C1755" s="1" t="n">
        <v>46011</v>
      </c>
      <c r="D1755" t="inlineStr">
        <is>
          <t>VÄSTRA GÖTALANDS LÄN</t>
        </is>
      </c>
      <c r="E1755" t="inlineStr">
        <is>
          <t>VÅRGÅRDA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64871-2021</t>
        </is>
      </c>
      <c r="B1756" s="1" t="n">
        <v>44512</v>
      </c>
      <c r="C1756" s="1" t="n">
        <v>46011</v>
      </c>
      <c r="D1756" t="inlineStr">
        <is>
          <t>VÄSTRA GÖTALANDS LÄN</t>
        </is>
      </c>
      <c r="E1756" t="inlineStr">
        <is>
          <t>TIBRO</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27044-2021</t>
        </is>
      </c>
      <c r="B1757" s="1" t="n">
        <v>44350</v>
      </c>
      <c r="C1757" s="1" t="n">
        <v>46011</v>
      </c>
      <c r="D1757" t="inlineStr">
        <is>
          <t>VÄSTRA GÖTALANDS LÄN</t>
        </is>
      </c>
      <c r="E1757" t="inlineStr">
        <is>
          <t>SVENLJUNGA</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48893-2021</t>
        </is>
      </c>
      <c r="B1758" s="1" t="n">
        <v>44452</v>
      </c>
      <c r="C1758" s="1" t="n">
        <v>46011</v>
      </c>
      <c r="D1758" t="inlineStr">
        <is>
          <t>VÄSTRA GÖTALANDS LÄN</t>
        </is>
      </c>
      <c r="E1758" t="inlineStr">
        <is>
          <t>HERRLJUNGA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29755-2021</t>
        </is>
      </c>
      <c r="B1759" s="1" t="n">
        <v>44362</v>
      </c>
      <c r="C1759" s="1" t="n">
        <v>46011</v>
      </c>
      <c r="D1759" t="inlineStr">
        <is>
          <t>VÄSTRA GÖTALANDS LÄN</t>
        </is>
      </c>
      <c r="E1759" t="inlineStr">
        <is>
          <t>VÄNERSBORG</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64926-2021</t>
        </is>
      </c>
      <c r="B1760" s="1" t="n">
        <v>44512</v>
      </c>
      <c r="C1760" s="1" t="n">
        <v>46011</v>
      </c>
      <c r="D1760" t="inlineStr">
        <is>
          <t>VÄSTRA GÖTALANDS LÄN</t>
        </is>
      </c>
      <c r="E1760" t="inlineStr">
        <is>
          <t>TIDAHOLM</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58926-2021</t>
        </is>
      </c>
      <c r="B1761" s="1" t="n">
        <v>44489.80715277778</v>
      </c>
      <c r="C1761" s="1" t="n">
        <v>46011</v>
      </c>
      <c r="D1761" t="inlineStr">
        <is>
          <t>VÄSTRA GÖTALANDS LÄN</t>
        </is>
      </c>
      <c r="E1761" t="inlineStr">
        <is>
          <t>HÄRRYDA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37512-2022</t>
        </is>
      </c>
      <c r="B1762" s="1" t="n">
        <v>44809</v>
      </c>
      <c r="C1762" s="1" t="n">
        <v>46011</v>
      </c>
      <c r="D1762" t="inlineStr">
        <is>
          <t>VÄSTRA GÖTALANDS LÄN</t>
        </is>
      </c>
      <c r="E1762" t="inlineStr">
        <is>
          <t>ALINGSÅS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23117-2021</t>
        </is>
      </c>
      <c r="B1763" s="1" t="n">
        <v>44330.6234375</v>
      </c>
      <c r="C1763" s="1" t="n">
        <v>46011</v>
      </c>
      <c r="D1763" t="inlineStr">
        <is>
          <t>VÄSTRA GÖTALANDS LÄN</t>
        </is>
      </c>
      <c r="E1763" t="inlineStr">
        <is>
          <t>FÄRGELANDA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16857-2021</t>
        </is>
      </c>
      <c r="B1764" s="1" t="n">
        <v>44295</v>
      </c>
      <c r="C1764" s="1" t="n">
        <v>46011</v>
      </c>
      <c r="D1764" t="inlineStr">
        <is>
          <t>VÄSTRA GÖTALANDS LÄN</t>
        </is>
      </c>
      <c r="E1764" t="inlineStr">
        <is>
          <t>TANUM</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28649-2021</t>
        </is>
      </c>
      <c r="B1765" s="1" t="n">
        <v>44357</v>
      </c>
      <c r="C1765" s="1" t="n">
        <v>46011</v>
      </c>
      <c r="D1765" t="inlineStr">
        <is>
          <t>VÄSTRA GÖTALANDS LÄN</t>
        </is>
      </c>
      <c r="E1765" t="inlineStr">
        <is>
          <t>FÄRGELANDA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27009-2021</t>
        </is>
      </c>
      <c r="B1766" s="1" t="n">
        <v>44350</v>
      </c>
      <c r="C1766" s="1" t="n">
        <v>46011</v>
      </c>
      <c r="D1766" t="inlineStr">
        <is>
          <t>VÄSTRA GÖTALANDS LÄN</t>
        </is>
      </c>
      <c r="E1766" t="inlineStr">
        <is>
          <t>FALKÖPING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27082-2021</t>
        </is>
      </c>
      <c r="B1767" s="1" t="n">
        <v>44350</v>
      </c>
      <c r="C1767" s="1" t="n">
        <v>46011</v>
      </c>
      <c r="D1767" t="inlineStr">
        <is>
          <t>VÄSTRA GÖTALANDS LÄN</t>
        </is>
      </c>
      <c r="E1767" t="inlineStr">
        <is>
          <t>BENGTSFORS</t>
        </is>
      </c>
      <c r="F1767" t="inlineStr">
        <is>
          <t>Kyrkan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25762-2022</t>
        </is>
      </c>
      <c r="B1768" s="1" t="n">
        <v>44733</v>
      </c>
      <c r="C1768" s="1" t="n">
        <v>46011</v>
      </c>
      <c r="D1768" t="inlineStr">
        <is>
          <t>VÄSTRA GÖTALANDS LÄN</t>
        </is>
      </c>
      <c r="E1768" t="inlineStr">
        <is>
          <t>DALS-ED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58120-2021</t>
        </is>
      </c>
      <c r="B1769" s="1" t="n">
        <v>44487.55363425926</v>
      </c>
      <c r="C1769" s="1" t="n">
        <v>46011</v>
      </c>
      <c r="D1769" t="inlineStr">
        <is>
          <t>VÄSTRA GÖTALANDS LÄN</t>
        </is>
      </c>
      <c r="E1769" t="inlineStr">
        <is>
          <t>LIDKÖPING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32615-2022</t>
        </is>
      </c>
      <c r="B1770" s="1" t="n">
        <v>44783.45457175926</v>
      </c>
      <c r="C1770" s="1" t="n">
        <v>46011</v>
      </c>
      <c r="D1770" t="inlineStr">
        <is>
          <t>VÄSTRA GÖTALANDS LÄN</t>
        </is>
      </c>
      <c r="E1770" t="inlineStr">
        <is>
          <t>TIDAHOLM</t>
        </is>
      </c>
      <c r="F1770" t="inlineStr">
        <is>
          <t>Sveaskog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34365-2021</t>
        </is>
      </c>
      <c r="B1771" s="1" t="n">
        <v>44379</v>
      </c>
      <c r="C1771" s="1" t="n">
        <v>46011</v>
      </c>
      <c r="D1771" t="inlineStr">
        <is>
          <t>VÄSTRA GÖTALANDS LÄN</t>
        </is>
      </c>
      <c r="E1771" t="inlineStr">
        <is>
          <t>TROLLHÄTTAN</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18304-2021</t>
        </is>
      </c>
      <c r="B1772" s="1" t="n">
        <v>44305</v>
      </c>
      <c r="C1772" s="1" t="n">
        <v>46011</v>
      </c>
      <c r="D1772" t="inlineStr">
        <is>
          <t>VÄSTRA GÖTALANDS LÄN</t>
        </is>
      </c>
      <c r="E1772" t="inlineStr">
        <is>
          <t>BENGTSFORS</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27289-2021</t>
        </is>
      </c>
      <c r="B1773" s="1" t="n">
        <v>44351.30972222222</v>
      </c>
      <c r="C1773" s="1" t="n">
        <v>46011</v>
      </c>
      <c r="D1773" t="inlineStr">
        <is>
          <t>VÄSTRA GÖTALANDS LÄN</t>
        </is>
      </c>
      <c r="E1773" t="inlineStr">
        <is>
          <t>TIBRO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25807-2022</t>
        </is>
      </c>
      <c r="B1774" s="1" t="n">
        <v>44733.53192129629</v>
      </c>
      <c r="C1774" s="1" t="n">
        <v>46011</v>
      </c>
      <c r="D1774" t="inlineStr">
        <is>
          <t>VÄSTRA GÖTALANDS LÄN</t>
        </is>
      </c>
      <c r="E1774" t="inlineStr">
        <is>
          <t>UDDEVALLA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25845-2022</t>
        </is>
      </c>
      <c r="B1775" s="1" t="n">
        <v>44733</v>
      </c>
      <c r="C1775" s="1" t="n">
        <v>46011</v>
      </c>
      <c r="D1775" t="inlineStr">
        <is>
          <t>VÄSTRA GÖTALANDS LÄN</t>
        </is>
      </c>
      <c r="E1775" t="inlineStr">
        <is>
          <t>ÅMÅL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25870-2022</t>
        </is>
      </c>
      <c r="B1776" s="1" t="n">
        <v>44733</v>
      </c>
      <c r="C1776" s="1" t="n">
        <v>46011</v>
      </c>
      <c r="D1776" t="inlineStr">
        <is>
          <t>VÄSTRA GÖTALANDS LÄN</t>
        </is>
      </c>
      <c r="E1776" t="inlineStr">
        <is>
          <t>MARK</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23083-2021</t>
        </is>
      </c>
      <c r="B1777" s="1" t="n">
        <v>44330</v>
      </c>
      <c r="C1777" s="1" t="n">
        <v>46011</v>
      </c>
      <c r="D1777" t="inlineStr">
        <is>
          <t>VÄSTRA GÖTALANDS LÄN</t>
        </is>
      </c>
      <c r="E1777" t="inlineStr">
        <is>
          <t>TROLLHÄTTAN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26740-2021</t>
        </is>
      </c>
      <c r="B1778" s="1" t="n">
        <v>44349.40521990741</v>
      </c>
      <c r="C1778" s="1" t="n">
        <v>46011</v>
      </c>
      <c r="D1778" t="inlineStr">
        <is>
          <t>VÄSTRA GÖTALANDS LÄN</t>
        </is>
      </c>
      <c r="E1778" t="inlineStr">
        <is>
          <t>VÄNERSBORG</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44703-2021</t>
        </is>
      </c>
      <c r="B1779" s="1" t="n">
        <v>44438</v>
      </c>
      <c r="C1779" s="1" t="n">
        <v>46011</v>
      </c>
      <c r="D1779" t="inlineStr">
        <is>
          <t>VÄSTRA GÖTALANDS LÄN</t>
        </is>
      </c>
      <c r="E1779" t="inlineStr">
        <is>
          <t>BORÅS</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42813-2022</t>
        </is>
      </c>
      <c r="B1780" s="1" t="n">
        <v>44832.60121527778</v>
      </c>
      <c r="C1780" s="1" t="n">
        <v>46011</v>
      </c>
      <c r="D1780" t="inlineStr">
        <is>
          <t>VÄSTRA GÖTALANDS LÄN</t>
        </is>
      </c>
      <c r="E1780" t="inlineStr">
        <is>
          <t>BENGTSFORS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55091-2021</t>
        </is>
      </c>
      <c r="B1781" s="1" t="n">
        <v>44474</v>
      </c>
      <c r="C1781" s="1" t="n">
        <v>46011</v>
      </c>
      <c r="D1781" t="inlineStr">
        <is>
          <t>VÄSTRA GÖTALANDS LÄN</t>
        </is>
      </c>
      <c r="E1781" t="inlineStr">
        <is>
          <t>HJO</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39499-2022</t>
        </is>
      </c>
      <c r="B1782" s="1" t="n">
        <v>44818</v>
      </c>
      <c r="C1782" s="1" t="n">
        <v>46011</v>
      </c>
      <c r="D1782" t="inlineStr">
        <is>
          <t>VÄSTRA GÖTALANDS LÄN</t>
        </is>
      </c>
      <c r="E1782" t="inlineStr">
        <is>
          <t>VÅRGÅRDA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37330-2022</t>
        </is>
      </c>
      <c r="B1783" s="1" t="n">
        <v>44806</v>
      </c>
      <c r="C1783" s="1" t="n">
        <v>46011</v>
      </c>
      <c r="D1783" t="inlineStr">
        <is>
          <t>VÄSTRA GÖTALANDS LÄN</t>
        </is>
      </c>
      <c r="E1783" t="inlineStr">
        <is>
          <t>MUNKEDAL</t>
        </is>
      </c>
      <c r="F1783" t="inlineStr">
        <is>
          <t>Övriga Aktiebolag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34490-2021</t>
        </is>
      </c>
      <c r="B1784" s="1" t="n">
        <v>44382.31175925926</v>
      </c>
      <c r="C1784" s="1" t="n">
        <v>46011</v>
      </c>
      <c r="D1784" t="inlineStr">
        <is>
          <t>VÄSTRA GÖTALANDS LÄN</t>
        </is>
      </c>
      <c r="E1784" t="inlineStr">
        <is>
          <t>GÖTENE</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62034-2021</t>
        </is>
      </c>
      <c r="B1785" s="1" t="n">
        <v>44502.54430555556</v>
      </c>
      <c r="C1785" s="1" t="n">
        <v>46011</v>
      </c>
      <c r="D1785" t="inlineStr">
        <is>
          <t>VÄSTRA GÖTALANDS LÄN</t>
        </is>
      </c>
      <c r="E1785" t="inlineStr">
        <is>
          <t>BORÅS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67135-2021</t>
        </is>
      </c>
      <c r="B1786" s="1" t="n">
        <v>44523.37583333333</v>
      </c>
      <c r="C1786" s="1" t="n">
        <v>46011</v>
      </c>
      <c r="D1786" t="inlineStr">
        <is>
          <t>VÄSTRA GÖTALANDS LÄN</t>
        </is>
      </c>
      <c r="E1786" t="inlineStr">
        <is>
          <t>SKÖVDE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797-2021</t>
        </is>
      </c>
      <c r="B1787" s="1" t="n">
        <v>44204</v>
      </c>
      <c r="C1787" s="1" t="n">
        <v>46011</v>
      </c>
      <c r="D1787" t="inlineStr">
        <is>
          <t>VÄSTRA GÖTALANDS LÄN</t>
        </is>
      </c>
      <c r="E1787" t="inlineStr">
        <is>
          <t>UDDEVALLA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31338-2022</t>
        </is>
      </c>
      <c r="B1788" s="1" t="n">
        <v>44774.48569444445</v>
      </c>
      <c r="C1788" s="1" t="n">
        <v>46011</v>
      </c>
      <c r="D1788" t="inlineStr">
        <is>
          <t>VÄSTRA GÖTALANDS LÄN</t>
        </is>
      </c>
      <c r="E1788" t="inlineStr">
        <is>
          <t>MARK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30179-2021</t>
        </is>
      </c>
      <c r="B1789" s="1" t="n">
        <v>44363</v>
      </c>
      <c r="C1789" s="1" t="n">
        <v>46011</v>
      </c>
      <c r="D1789" t="inlineStr">
        <is>
          <t>VÄSTRA GÖTALANDS LÄN</t>
        </is>
      </c>
      <c r="E1789" t="inlineStr">
        <is>
          <t>BOLLEBYGD</t>
        </is>
      </c>
      <c r="F1789" t="inlineStr">
        <is>
          <t>Kyrkan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34573-2021</t>
        </is>
      </c>
      <c r="B1790" s="1" t="n">
        <v>44382</v>
      </c>
      <c r="C1790" s="1" t="n">
        <v>46011</v>
      </c>
      <c r="D1790" t="inlineStr">
        <is>
          <t>VÄSTRA GÖTALANDS LÄN</t>
        </is>
      </c>
      <c r="E1790" t="inlineStr">
        <is>
          <t>TIDAHOLM</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987-2021</t>
        </is>
      </c>
      <c r="B1791" s="1" t="n">
        <v>44206</v>
      </c>
      <c r="C1791" s="1" t="n">
        <v>46011</v>
      </c>
      <c r="D1791" t="inlineStr">
        <is>
          <t>VÄSTRA GÖTALANDS LÄN</t>
        </is>
      </c>
      <c r="E1791" t="inlineStr">
        <is>
          <t>FALKÖPING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31559-2021</t>
        </is>
      </c>
      <c r="B1792" s="1" t="n">
        <v>44369</v>
      </c>
      <c r="C1792" s="1" t="n">
        <v>46011</v>
      </c>
      <c r="D1792" t="inlineStr">
        <is>
          <t>VÄSTRA GÖTALANDS LÄN</t>
        </is>
      </c>
      <c r="E1792" t="inlineStr">
        <is>
          <t>GÖTENE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25427-2021</t>
        </is>
      </c>
      <c r="B1793" s="1" t="n">
        <v>44342.65056712963</v>
      </c>
      <c r="C1793" s="1" t="n">
        <v>46011</v>
      </c>
      <c r="D1793" t="inlineStr">
        <is>
          <t>VÄSTRA GÖTALANDS LÄN</t>
        </is>
      </c>
      <c r="E1793" t="inlineStr">
        <is>
          <t>TROLLHÄTTAN</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26169-2021</t>
        </is>
      </c>
      <c r="B1794" s="1" t="n">
        <v>44347</v>
      </c>
      <c r="C1794" s="1" t="n">
        <v>46011</v>
      </c>
      <c r="D1794" t="inlineStr">
        <is>
          <t>VÄSTRA GÖTALANDS LÄN</t>
        </is>
      </c>
      <c r="E1794" t="inlineStr">
        <is>
          <t>VÅRGÅRDA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17391-2021</t>
        </is>
      </c>
      <c r="B1795" s="1" t="n">
        <v>44299.26466435185</v>
      </c>
      <c r="C1795" s="1" t="n">
        <v>46011</v>
      </c>
      <c r="D1795" t="inlineStr">
        <is>
          <t>VÄSTRA GÖTALANDS LÄN</t>
        </is>
      </c>
      <c r="E1795" t="inlineStr">
        <is>
          <t>ULRICEHAMN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37137-2021</t>
        </is>
      </c>
      <c r="B1796" s="1" t="n">
        <v>44395</v>
      </c>
      <c r="C1796" s="1" t="n">
        <v>46011</v>
      </c>
      <c r="D1796" t="inlineStr">
        <is>
          <t>VÄSTRA GÖTALANDS LÄN</t>
        </is>
      </c>
      <c r="E1796" t="inlineStr">
        <is>
          <t>TANUM</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69296-2020</t>
        </is>
      </c>
      <c r="B1797" s="1" t="n">
        <v>44193</v>
      </c>
      <c r="C1797" s="1" t="n">
        <v>46011</v>
      </c>
      <c r="D1797" t="inlineStr">
        <is>
          <t>VÄSTRA GÖTALANDS LÄN</t>
        </is>
      </c>
      <c r="E1797" t="inlineStr">
        <is>
          <t>MARIESTAD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39818-2021</t>
        </is>
      </c>
      <c r="B1798" s="1" t="n">
        <v>44417</v>
      </c>
      <c r="C1798" s="1" t="n">
        <v>46011</v>
      </c>
      <c r="D1798" t="inlineStr">
        <is>
          <t>VÄSTRA GÖTALANDS LÄN</t>
        </is>
      </c>
      <c r="E1798" t="inlineStr">
        <is>
          <t>BENGTSFORS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32313-2022</t>
        </is>
      </c>
      <c r="B1799" s="1" t="n">
        <v>44781.65829861111</v>
      </c>
      <c r="C1799" s="1" t="n">
        <v>46011</v>
      </c>
      <c r="D1799" t="inlineStr">
        <is>
          <t>VÄSTRA GÖTALANDS LÄN</t>
        </is>
      </c>
      <c r="E1799" t="inlineStr">
        <is>
          <t>DALS-ED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11667-2021</t>
        </is>
      </c>
      <c r="B1800" s="1" t="n">
        <v>44264</v>
      </c>
      <c r="C1800" s="1" t="n">
        <v>46011</v>
      </c>
      <c r="D1800" t="inlineStr">
        <is>
          <t>VÄSTRA GÖTALANDS LÄN</t>
        </is>
      </c>
      <c r="E1800" t="inlineStr">
        <is>
          <t>MELLERUD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8412-2021</t>
        </is>
      </c>
      <c r="B1801" s="1" t="n">
        <v>44245</v>
      </c>
      <c r="C1801" s="1" t="n">
        <v>46011</v>
      </c>
      <c r="D1801" t="inlineStr">
        <is>
          <t>VÄSTRA GÖTALANDS LÄN</t>
        </is>
      </c>
      <c r="E1801" t="inlineStr">
        <is>
          <t>BENGTSFORS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72532-2021</t>
        </is>
      </c>
      <c r="B1802" s="1" t="n">
        <v>44546.38177083333</v>
      </c>
      <c r="C1802" s="1" t="n">
        <v>46011</v>
      </c>
      <c r="D1802" t="inlineStr">
        <is>
          <t>VÄSTRA GÖTALANDS LÄN</t>
        </is>
      </c>
      <c r="E1802" t="inlineStr">
        <is>
          <t>TÖREBODA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39842-2021</t>
        </is>
      </c>
      <c r="B1803" s="1" t="n">
        <v>44417.63443287037</v>
      </c>
      <c r="C1803" s="1" t="n">
        <v>46011</v>
      </c>
      <c r="D1803" t="inlineStr">
        <is>
          <t>VÄSTRA GÖTALANDS LÄN</t>
        </is>
      </c>
      <c r="E1803" t="inlineStr">
        <is>
          <t>ÅMÅL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46870-2021</t>
        </is>
      </c>
      <c r="B1804" s="1" t="n">
        <v>44446</v>
      </c>
      <c r="C1804" s="1" t="n">
        <v>46011</v>
      </c>
      <c r="D1804" t="inlineStr">
        <is>
          <t>VÄSTRA GÖTALANDS LÄN</t>
        </is>
      </c>
      <c r="E1804" t="inlineStr">
        <is>
          <t>VÄNERSBORG</t>
        </is>
      </c>
      <c r="F1804" t="inlineStr">
        <is>
          <t>Sveaskog</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35673-2021</t>
        </is>
      </c>
      <c r="B1805" s="1" t="n">
        <v>44386</v>
      </c>
      <c r="C1805" s="1" t="n">
        <v>46011</v>
      </c>
      <c r="D1805" t="inlineStr">
        <is>
          <t>VÄSTRA GÖTALANDS LÄN</t>
        </is>
      </c>
      <c r="E1805" t="inlineStr">
        <is>
          <t>GULLSPÅNG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69116-2020</t>
        </is>
      </c>
      <c r="B1806" s="1" t="n">
        <v>44188</v>
      </c>
      <c r="C1806" s="1" t="n">
        <v>46011</v>
      </c>
      <c r="D1806" t="inlineStr">
        <is>
          <t>VÄSTRA GÖTALANDS LÄN</t>
        </is>
      </c>
      <c r="E1806" t="inlineStr">
        <is>
          <t>FÄRGELANDA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537-2021</t>
        </is>
      </c>
      <c r="B1807" s="1" t="n">
        <v>44201</v>
      </c>
      <c r="C1807" s="1" t="n">
        <v>46011</v>
      </c>
      <c r="D1807" t="inlineStr">
        <is>
          <t>VÄSTRA GÖTALANDS LÄN</t>
        </is>
      </c>
      <c r="E1807" t="inlineStr">
        <is>
          <t>SKÖVDE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36106-2021</t>
        </is>
      </c>
      <c r="B1808" s="1" t="n">
        <v>44389</v>
      </c>
      <c r="C1808" s="1" t="n">
        <v>46011</v>
      </c>
      <c r="D1808" t="inlineStr">
        <is>
          <t>VÄSTRA GÖTALANDS LÄN</t>
        </is>
      </c>
      <c r="E1808" t="inlineStr">
        <is>
          <t>ALINGSÅS</t>
        </is>
      </c>
      <c r="F1808" t="inlineStr">
        <is>
          <t>Allmännings- och besparingsskogar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44488-2021</t>
        </is>
      </c>
      <c r="B1809" s="1" t="n">
        <v>44435.59436342592</v>
      </c>
      <c r="C1809" s="1" t="n">
        <v>46011</v>
      </c>
      <c r="D1809" t="inlineStr">
        <is>
          <t>VÄSTRA GÖTALANDS LÄN</t>
        </is>
      </c>
      <c r="E1809" t="inlineStr">
        <is>
          <t>TRANEMO</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30220-2021</t>
        </is>
      </c>
      <c r="B1810" s="1" t="n">
        <v>44363.67822916667</v>
      </c>
      <c r="C1810" s="1" t="n">
        <v>46011</v>
      </c>
      <c r="D1810" t="inlineStr">
        <is>
          <t>VÄSTRA GÖTALANDS LÄN</t>
        </is>
      </c>
      <c r="E1810" t="inlineStr">
        <is>
          <t>TROLLHÄTTAN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35968-2021</t>
        </is>
      </c>
      <c r="B1811" s="1" t="n">
        <v>44389</v>
      </c>
      <c r="C1811" s="1" t="n">
        <v>46011</v>
      </c>
      <c r="D1811" t="inlineStr">
        <is>
          <t>VÄSTRA GÖTALANDS LÄN</t>
        </is>
      </c>
      <c r="E1811" t="inlineStr">
        <is>
          <t>TANUM</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34658-2021</t>
        </is>
      </c>
      <c r="B1812" s="1" t="n">
        <v>44382</v>
      </c>
      <c r="C1812" s="1" t="n">
        <v>46011</v>
      </c>
      <c r="D1812" t="inlineStr">
        <is>
          <t>VÄSTRA GÖTALANDS LÄN</t>
        </is>
      </c>
      <c r="E1812" t="inlineStr">
        <is>
          <t>SKARA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72651-2021</t>
        </is>
      </c>
      <c r="B1813" s="1" t="n">
        <v>44546</v>
      </c>
      <c r="C1813" s="1" t="n">
        <v>46011</v>
      </c>
      <c r="D1813" t="inlineStr">
        <is>
          <t>VÄSTRA GÖTALANDS LÄN</t>
        </is>
      </c>
      <c r="E1813" t="inlineStr">
        <is>
          <t>MARIESTAD</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799-2022</t>
        </is>
      </c>
      <c r="B1814" s="1" t="n">
        <v>44571</v>
      </c>
      <c r="C1814" s="1" t="n">
        <v>46011</v>
      </c>
      <c r="D1814" t="inlineStr">
        <is>
          <t>VÄSTRA GÖTALANDS LÄN</t>
        </is>
      </c>
      <c r="E1814" t="inlineStr">
        <is>
          <t>VÅRGÅRDA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73823-2021</t>
        </is>
      </c>
      <c r="B1815" s="1" t="n">
        <v>44552</v>
      </c>
      <c r="C1815" s="1" t="n">
        <v>46011</v>
      </c>
      <c r="D1815" t="inlineStr">
        <is>
          <t>VÄSTRA GÖTALANDS LÄN</t>
        </is>
      </c>
      <c r="E1815" t="inlineStr">
        <is>
          <t>ULRICEHAMN</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39441-2021</t>
        </is>
      </c>
      <c r="B1816" s="1" t="n">
        <v>44414</v>
      </c>
      <c r="C1816" s="1" t="n">
        <v>46011</v>
      </c>
      <c r="D1816" t="inlineStr">
        <is>
          <t>VÄSTRA GÖTALANDS LÄN</t>
        </is>
      </c>
      <c r="E1816" t="inlineStr">
        <is>
          <t>MUNKEDAL</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52505-2022</t>
        </is>
      </c>
      <c r="B1817" s="1" t="n">
        <v>44874.53378472223</v>
      </c>
      <c r="C1817" s="1" t="n">
        <v>46011</v>
      </c>
      <c r="D1817" t="inlineStr">
        <is>
          <t>VÄSTRA GÖTALANDS LÄN</t>
        </is>
      </c>
      <c r="E1817" t="inlineStr">
        <is>
          <t>MARK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1105-2022</t>
        </is>
      </c>
      <c r="B1818" s="1" t="n">
        <v>44572.31209490741</v>
      </c>
      <c r="C1818" s="1" t="n">
        <v>46011</v>
      </c>
      <c r="D1818" t="inlineStr">
        <is>
          <t>VÄSTRA GÖTALANDS LÄN</t>
        </is>
      </c>
      <c r="E1818" t="inlineStr">
        <is>
          <t>ALINGSÅS</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37755-2021</t>
        </is>
      </c>
      <c r="B1819" s="1" t="n">
        <v>44400</v>
      </c>
      <c r="C1819" s="1" t="n">
        <v>46011</v>
      </c>
      <c r="D1819" t="inlineStr">
        <is>
          <t>VÄSTRA GÖTALANDS LÄN</t>
        </is>
      </c>
      <c r="E1819" t="inlineStr">
        <is>
          <t>MARK</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37857-2021</t>
        </is>
      </c>
      <c r="B1820" s="1" t="n">
        <v>44403</v>
      </c>
      <c r="C1820" s="1" t="n">
        <v>46011</v>
      </c>
      <c r="D1820" t="inlineStr">
        <is>
          <t>VÄSTRA GÖTALANDS LÄN</t>
        </is>
      </c>
      <c r="E1820" t="inlineStr">
        <is>
          <t>BENGTSFORS</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72686-2021</t>
        </is>
      </c>
      <c r="B1821" s="1" t="n">
        <v>44546.65344907407</v>
      </c>
      <c r="C1821" s="1" t="n">
        <v>46011</v>
      </c>
      <c r="D1821" t="inlineStr">
        <is>
          <t>VÄSTRA GÖTALANDS LÄN</t>
        </is>
      </c>
      <c r="E1821" t="inlineStr">
        <is>
          <t>TIDAHOLM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33678-2021</t>
        </is>
      </c>
      <c r="B1822" s="1" t="n">
        <v>44378.41319444445</v>
      </c>
      <c r="C1822" s="1" t="n">
        <v>46011</v>
      </c>
      <c r="D1822" t="inlineStr">
        <is>
          <t>VÄSTRA GÖTALANDS LÄN</t>
        </is>
      </c>
      <c r="E1822" t="inlineStr">
        <is>
          <t>VARA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10-2022</t>
        </is>
      </c>
      <c r="B1823" s="1" t="n">
        <v>44563.73993055556</v>
      </c>
      <c r="C1823" s="1" t="n">
        <v>46011</v>
      </c>
      <c r="D1823" t="inlineStr">
        <is>
          <t>VÄSTRA GÖTALANDS LÄN</t>
        </is>
      </c>
      <c r="E1823" t="inlineStr">
        <is>
          <t>VÄNERSBORG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73-2022</t>
        </is>
      </c>
      <c r="B1824" s="1" t="n">
        <v>44564.46929398148</v>
      </c>
      <c r="C1824" s="1" t="n">
        <v>46011</v>
      </c>
      <c r="D1824" t="inlineStr">
        <is>
          <t>VÄSTRA GÖTALANDS LÄN</t>
        </is>
      </c>
      <c r="E1824" t="inlineStr">
        <is>
          <t>MELLERUD</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34030-2021</t>
        </is>
      </c>
      <c r="B1825" s="1" t="n">
        <v>44378</v>
      </c>
      <c r="C1825" s="1" t="n">
        <v>46011</v>
      </c>
      <c r="D1825" t="inlineStr">
        <is>
          <t>VÄSTRA GÖTALANDS LÄN</t>
        </is>
      </c>
      <c r="E1825" t="inlineStr">
        <is>
          <t>DALS-ED</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44821-2021</t>
        </is>
      </c>
      <c r="B1826" s="1" t="n">
        <v>44438.53459490741</v>
      </c>
      <c r="C1826" s="1" t="n">
        <v>46011</v>
      </c>
      <c r="D1826" t="inlineStr">
        <is>
          <t>VÄSTRA GÖTALANDS LÄN</t>
        </is>
      </c>
      <c r="E1826" t="inlineStr">
        <is>
          <t>MARIESTAD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69554-2020</t>
        </is>
      </c>
      <c r="B1827" s="1" t="n">
        <v>44194</v>
      </c>
      <c r="C1827" s="1" t="n">
        <v>46011</v>
      </c>
      <c r="D1827" t="inlineStr">
        <is>
          <t>VÄSTRA GÖTALANDS LÄN</t>
        </is>
      </c>
      <c r="E1827" t="inlineStr">
        <is>
          <t>TROLLHÄTTAN</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33528-2021</t>
        </is>
      </c>
      <c r="B1828" s="1" t="n">
        <v>44377.80355324074</v>
      </c>
      <c r="C1828" s="1" t="n">
        <v>46011</v>
      </c>
      <c r="D1828" t="inlineStr">
        <is>
          <t>VÄSTRA GÖTALANDS LÄN</t>
        </is>
      </c>
      <c r="E1828" t="inlineStr">
        <is>
          <t>LILLA EDET</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44833-2021</t>
        </is>
      </c>
      <c r="B1829" s="1" t="n">
        <v>44438.55181712963</v>
      </c>
      <c r="C1829" s="1" t="n">
        <v>46011</v>
      </c>
      <c r="D1829" t="inlineStr">
        <is>
          <t>VÄSTRA GÖTALANDS LÄN</t>
        </is>
      </c>
      <c r="E1829" t="inlineStr">
        <is>
          <t>MELLERUD</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47306-2021</t>
        </is>
      </c>
      <c r="B1830" s="1" t="n">
        <v>44447</v>
      </c>
      <c r="C1830" s="1" t="n">
        <v>46011</v>
      </c>
      <c r="D1830" t="inlineStr">
        <is>
          <t>VÄSTRA GÖTALANDS LÄN</t>
        </is>
      </c>
      <c r="E1830" t="inlineStr">
        <is>
          <t>BORÅS</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55476-2021</t>
        </is>
      </c>
      <c r="B1831" s="1" t="n">
        <v>44475</v>
      </c>
      <c r="C1831" s="1" t="n">
        <v>46011</v>
      </c>
      <c r="D1831" t="inlineStr">
        <is>
          <t>VÄSTRA GÖTALANDS LÄN</t>
        </is>
      </c>
      <c r="E1831" t="inlineStr">
        <is>
          <t>BORÅS</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35810-2021</t>
        </is>
      </c>
      <c r="B1832" s="1" t="n">
        <v>44386</v>
      </c>
      <c r="C1832" s="1" t="n">
        <v>46011</v>
      </c>
      <c r="D1832" t="inlineStr">
        <is>
          <t>VÄSTRA GÖTALANDS LÄN</t>
        </is>
      </c>
      <c r="E1832" t="inlineStr">
        <is>
          <t>ORUST</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38992-2021</t>
        </is>
      </c>
      <c r="B1833" s="1" t="n">
        <v>44411</v>
      </c>
      <c r="C1833" s="1" t="n">
        <v>46011</v>
      </c>
      <c r="D1833" t="inlineStr">
        <is>
          <t>VÄSTRA GÖTALANDS LÄN</t>
        </is>
      </c>
      <c r="E1833" t="inlineStr">
        <is>
          <t>MUNKEDAL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6063-2022</t>
        </is>
      </c>
      <c r="B1834" s="1" t="n">
        <v>44599</v>
      </c>
      <c r="C1834" s="1" t="n">
        <v>46011</v>
      </c>
      <c r="D1834" t="inlineStr">
        <is>
          <t>VÄSTRA GÖTALANDS LÄN</t>
        </is>
      </c>
      <c r="E1834" t="inlineStr">
        <is>
          <t>UDDEVALLA</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50532-2021</t>
        </is>
      </c>
      <c r="B1835" s="1" t="n">
        <v>44459.60774305555</v>
      </c>
      <c r="C1835" s="1" t="n">
        <v>46011</v>
      </c>
      <c r="D1835" t="inlineStr">
        <is>
          <t>VÄSTRA GÖTALANDS LÄN</t>
        </is>
      </c>
      <c r="E1835" t="inlineStr">
        <is>
          <t>SVENLJUNGA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50551-2021</t>
        </is>
      </c>
      <c r="B1836" s="1" t="n">
        <v>44459</v>
      </c>
      <c r="C1836" s="1" t="n">
        <v>46011</v>
      </c>
      <c r="D1836" t="inlineStr">
        <is>
          <t>VÄSTRA GÖTALANDS LÄN</t>
        </is>
      </c>
      <c r="E1836" t="inlineStr">
        <is>
          <t>TANUM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12204-2021</t>
        </is>
      </c>
      <c r="B1837" s="1" t="n">
        <v>44266.65212962963</v>
      </c>
      <c r="C1837" s="1" t="n">
        <v>46011</v>
      </c>
      <c r="D1837" t="inlineStr">
        <is>
          <t>VÄSTRA GÖTALANDS LÄN</t>
        </is>
      </c>
      <c r="E1837" t="inlineStr">
        <is>
          <t>KARLSBORG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56157-2021</t>
        </is>
      </c>
      <c r="B1838" s="1" t="n">
        <v>44477.65078703704</v>
      </c>
      <c r="C1838" s="1" t="n">
        <v>46011</v>
      </c>
      <c r="D1838" t="inlineStr">
        <is>
          <t>VÄSTRA GÖTALANDS LÄN</t>
        </is>
      </c>
      <c r="E1838" t="inlineStr">
        <is>
          <t>GÖTENE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46851-2021</t>
        </is>
      </c>
      <c r="B1839" s="1" t="n">
        <v>44446</v>
      </c>
      <c r="C1839" s="1" t="n">
        <v>46011</v>
      </c>
      <c r="D1839" t="inlineStr">
        <is>
          <t>VÄSTRA GÖTALANDS LÄN</t>
        </is>
      </c>
      <c r="E1839" t="inlineStr">
        <is>
          <t>FÄRGELANDA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6190-2022</t>
        </is>
      </c>
      <c r="B1840" s="1" t="n">
        <v>44600</v>
      </c>
      <c r="C1840" s="1" t="n">
        <v>46011</v>
      </c>
      <c r="D1840" t="inlineStr">
        <is>
          <t>VÄSTRA GÖTALANDS LÄN</t>
        </is>
      </c>
      <c r="E1840" t="inlineStr">
        <is>
          <t>ÅMÅL</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50459-2021</t>
        </is>
      </c>
      <c r="B1841" s="1" t="n">
        <v>44459.53096064815</v>
      </c>
      <c r="C1841" s="1" t="n">
        <v>46011</v>
      </c>
      <c r="D1841" t="inlineStr">
        <is>
          <t>VÄSTRA GÖTALANDS LÄN</t>
        </is>
      </c>
      <c r="E1841" t="inlineStr">
        <is>
          <t>DALS-ED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62339-2021</t>
        </is>
      </c>
      <c r="B1842" s="1" t="n">
        <v>44503</v>
      </c>
      <c r="C1842" s="1" t="n">
        <v>46011</v>
      </c>
      <c r="D1842" t="inlineStr">
        <is>
          <t>VÄSTRA GÖTALANDS LÄN</t>
        </is>
      </c>
      <c r="E1842" t="inlineStr">
        <is>
          <t>TÖREBODA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36167-2021</t>
        </is>
      </c>
      <c r="B1843" s="1" t="n">
        <v>44386</v>
      </c>
      <c r="C1843" s="1" t="n">
        <v>46011</v>
      </c>
      <c r="D1843" t="inlineStr">
        <is>
          <t>VÄSTRA GÖTALANDS LÄN</t>
        </is>
      </c>
      <c r="E1843" t="inlineStr">
        <is>
          <t>DALS-ED</t>
        </is>
      </c>
      <c r="F1843" t="inlineStr">
        <is>
          <t>Kyrkan</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12903-2021</t>
        </is>
      </c>
      <c r="B1844" s="1" t="n">
        <v>44271.47305555556</v>
      </c>
      <c r="C1844" s="1" t="n">
        <v>46011</v>
      </c>
      <c r="D1844" t="inlineStr">
        <is>
          <t>VÄSTRA GÖTALANDS LÄN</t>
        </is>
      </c>
      <c r="E1844" t="inlineStr">
        <is>
          <t>VÅRGÅRDA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12906-2021</t>
        </is>
      </c>
      <c r="B1845" s="1" t="n">
        <v>44271.47340277778</v>
      </c>
      <c r="C1845" s="1" t="n">
        <v>46011</v>
      </c>
      <c r="D1845" t="inlineStr">
        <is>
          <t>VÄSTRA GÖTALANDS LÄN</t>
        </is>
      </c>
      <c r="E1845" t="inlineStr">
        <is>
          <t>HÄRRYDA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37804-2021</t>
        </is>
      </c>
      <c r="B1846" s="1" t="n">
        <v>44402</v>
      </c>
      <c r="C1846" s="1" t="n">
        <v>46011</v>
      </c>
      <c r="D1846" t="inlineStr">
        <is>
          <t>VÄSTRA GÖTALANDS LÄN</t>
        </is>
      </c>
      <c r="E1846" t="inlineStr">
        <is>
          <t>ÅMÅL</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37813-2021</t>
        </is>
      </c>
      <c r="B1847" s="1" t="n">
        <v>44402</v>
      </c>
      <c r="C1847" s="1" t="n">
        <v>46011</v>
      </c>
      <c r="D1847" t="inlineStr">
        <is>
          <t>VÄSTRA GÖTALANDS LÄN</t>
        </is>
      </c>
      <c r="E1847" t="inlineStr">
        <is>
          <t>ÅMÅL</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37814-2021</t>
        </is>
      </c>
      <c r="B1848" s="1" t="n">
        <v>44402</v>
      </c>
      <c r="C1848" s="1" t="n">
        <v>46011</v>
      </c>
      <c r="D1848" t="inlineStr">
        <is>
          <t>VÄSTRA GÖTALANDS LÄN</t>
        </is>
      </c>
      <c r="E1848" t="inlineStr">
        <is>
          <t>ÅMÅL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62536-2021</t>
        </is>
      </c>
      <c r="B1849" s="1" t="n">
        <v>44503</v>
      </c>
      <c r="C1849" s="1" t="n">
        <v>46011</v>
      </c>
      <c r="D1849" t="inlineStr">
        <is>
          <t>VÄSTRA GÖTALANDS LÄN</t>
        </is>
      </c>
      <c r="E1849" t="inlineStr">
        <is>
          <t>ESSUNGA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41156-2021</t>
        </is>
      </c>
      <c r="B1850" s="1" t="n">
        <v>44421</v>
      </c>
      <c r="C1850" s="1" t="n">
        <v>46011</v>
      </c>
      <c r="D1850" t="inlineStr">
        <is>
          <t>VÄSTRA GÖTALANDS LÄN</t>
        </is>
      </c>
      <c r="E1850" t="inlineStr">
        <is>
          <t>SKÖVDE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54521-2021</t>
        </is>
      </c>
      <c r="B1851" s="1" t="n">
        <v>44473.53315972222</v>
      </c>
      <c r="C1851" s="1" t="n">
        <v>46011</v>
      </c>
      <c r="D1851" t="inlineStr">
        <is>
          <t>VÄSTRA GÖTALANDS LÄN</t>
        </is>
      </c>
      <c r="E1851" t="inlineStr">
        <is>
          <t>ESSUNGA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54621-2021</t>
        </is>
      </c>
      <c r="B1852" s="1" t="n">
        <v>44473</v>
      </c>
      <c r="C1852" s="1" t="n">
        <v>46011</v>
      </c>
      <c r="D1852" t="inlineStr">
        <is>
          <t>VÄSTRA GÖTALANDS LÄN</t>
        </is>
      </c>
      <c r="E1852" t="inlineStr">
        <is>
          <t>TÖREBODA</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20138-2021</t>
        </is>
      </c>
      <c r="B1853" s="1" t="n">
        <v>44314.4852662037</v>
      </c>
      <c r="C1853" s="1" t="n">
        <v>46011</v>
      </c>
      <c r="D1853" t="inlineStr">
        <is>
          <t>VÄSTRA GÖTALANDS LÄN</t>
        </is>
      </c>
      <c r="E1853" t="inlineStr">
        <is>
          <t>VÄNERSBORG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6668-2021</t>
        </is>
      </c>
      <c r="B1854" s="1" t="n">
        <v>44236</v>
      </c>
      <c r="C1854" s="1" t="n">
        <v>46011</v>
      </c>
      <c r="D1854" t="inlineStr">
        <is>
          <t>VÄSTRA GÖTALANDS LÄN</t>
        </is>
      </c>
      <c r="E1854" t="inlineStr">
        <is>
          <t>DALS-ED</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3865-2022</t>
        </is>
      </c>
      <c r="B1855" s="1" t="n">
        <v>44587</v>
      </c>
      <c r="C1855" s="1" t="n">
        <v>46011</v>
      </c>
      <c r="D1855" t="inlineStr">
        <is>
          <t>VÄSTRA GÖTALANDS LÄN</t>
        </is>
      </c>
      <c r="E1855" t="inlineStr">
        <is>
          <t>VARA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46998-2022</t>
        </is>
      </c>
      <c r="B1856" s="1" t="n">
        <v>44852.25016203704</v>
      </c>
      <c r="C1856" s="1" t="n">
        <v>46011</v>
      </c>
      <c r="D1856" t="inlineStr">
        <is>
          <t>VÄSTRA GÖTALANDS LÄN</t>
        </is>
      </c>
      <c r="E1856" t="inlineStr">
        <is>
          <t>HJO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48658-2021</t>
        </is>
      </c>
      <c r="B1857" s="1" t="n">
        <v>44452</v>
      </c>
      <c r="C1857" s="1" t="n">
        <v>46011</v>
      </c>
      <c r="D1857" t="inlineStr">
        <is>
          <t>VÄSTRA GÖTALANDS LÄN</t>
        </is>
      </c>
      <c r="E1857" t="inlineStr">
        <is>
          <t>DALS-ED</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47091-2021</t>
        </is>
      </c>
      <c r="B1858" s="1" t="n">
        <v>44446</v>
      </c>
      <c r="C1858" s="1" t="n">
        <v>46011</v>
      </c>
      <c r="D1858" t="inlineStr">
        <is>
          <t>VÄSTRA GÖTALANDS LÄN</t>
        </is>
      </c>
      <c r="E1858" t="inlineStr">
        <is>
          <t>BENGTSFORS</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39105-2021</t>
        </is>
      </c>
      <c r="B1859" s="1" t="n">
        <v>44412</v>
      </c>
      <c r="C1859" s="1" t="n">
        <v>46011</v>
      </c>
      <c r="D1859" t="inlineStr">
        <is>
          <t>VÄSTRA GÖTALANDS LÄN</t>
        </is>
      </c>
      <c r="E1859" t="inlineStr">
        <is>
          <t>BENGTSFORS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33940-2021</t>
        </is>
      </c>
      <c r="B1860" s="1" t="n">
        <v>44378.80239583334</v>
      </c>
      <c r="C1860" s="1" t="n">
        <v>46011</v>
      </c>
      <c r="D1860" t="inlineStr">
        <is>
          <t>VÄSTRA GÖTALANDS LÄN</t>
        </is>
      </c>
      <c r="E1860" t="inlineStr">
        <is>
          <t>SKARA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34000-2021</t>
        </is>
      </c>
      <c r="B1861" s="1" t="n">
        <v>44379.32055555555</v>
      </c>
      <c r="C1861" s="1" t="n">
        <v>46011</v>
      </c>
      <c r="D1861" t="inlineStr">
        <is>
          <t>VÄSTRA GÖTALANDS LÄN</t>
        </is>
      </c>
      <c r="E1861" t="inlineStr">
        <is>
          <t>GRÄSTORP</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45044-2021</t>
        </is>
      </c>
      <c r="B1862" s="1" t="n">
        <v>44439</v>
      </c>
      <c r="C1862" s="1" t="n">
        <v>46011</v>
      </c>
      <c r="D1862" t="inlineStr">
        <is>
          <t>VÄSTRA GÖTALANDS LÄN</t>
        </is>
      </c>
      <c r="E1862" t="inlineStr">
        <is>
          <t>ORUST</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45103-2021</t>
        </is>
      </c>
      <c r="B1863" s="1" t="n">
        <v>44439.41456018519</v>
      </c>
      <c r="C1863" s="1" t="n">
        <v>46011</v>
      </c>
      <c r="D1863" t="inlineStr">
        <is>
          <t>VÄSTRA GÖTALANDS LÄN</t>
        </is>
      </c>
      <c r="E1863" t="inlineStr">
        <is>
          <t>GULLSPÅNG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32829-2021</t>
        </is>
      </c>
      <c r="B1864" s="1" t="n">
        <v>44375</v>
      </c>
      <c r="C1864" s="1" t="n">
        <v>46011</v>
      </c>
      <c r="D1864" t="inlineStr">
        <is>
          <t>VÄSTRA GÖTALANDS LÄN</t>
        </is>
      </c>
      <c r="E1864" t="inlineStr">
        <is>
          <t>TRANEMO</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59336-2021</t>
        </is>
      </c>
      <c r="B1865" s="1" t="n">
        <v>44491</v>
      </c>
      <c r="C1865" s="1" t="n">
        <v>46011</v>
      </c>
      <c r="D1865" t="inlineStr">
        <is>
          <t>VÄSTRA GÖTALANDS LÄN</t>
        </is>
      </c>
      <c r="E1865" t="inlineStr">
        <is>
          <t>BORÅS</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61896-2021</t>
        </is>
      </c>
      <c r="B1866" s="1" t="n">
        <v>44499</v>
      </c>
      <c r="C1866" s="1" t="n">
        <v>46011</v>
      </c>
      <c r="D1866" t="inlineStr">
        <is>
          <t>VÄSTRA GÖTALANDS LÄN</t>
        </is>
      </c>
      <c r="E1866" t="inlineStr">
        <is>
          <t>STRÖMSTAD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43715-2022</t>
        </is>
      </c>
      <c r="B1867" s="1" t="n">
        <v>44837.66451388889</v>
      </c>
      <c r="C1867" s="1" t="n">
        <v>46011</v>
      </c>
      <c r="D1867" t="inlineStr">
        <is>
          <t>VÄSTRA GÖTALANDS LÄN</t>
        </is>
      </c>
      <c r="E1867" t="inlineStr">
        <is>
          <t>TANUM</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59512-2021</t>
        </is>
      </c>
      <c r="B1868" s="1" t="n">
        <v>44491</v>
      </c>
      <c r="C1868" s="1" t="n">
        <v>46011</v>
      </c>
      <c r="D1868" t="inlineStr">
        <is>
          <t>VÄSTRA GÖTALANDS LÄN</t>
        </is>
      </c>
      <c r="E1868" t="inlineStr">
        <is>
          <t>ULRICEHAMN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48259-2021</t>
        </is>
      </c>
      <c r="B1869" s="1" t="n">
        <v>44449.66033564815</v>
      </c>
      <c r="C1869" s="1" t="n">
        <v>46011</v>
      </c>
      <c r="D1869" t="inlineStr">
        <is>
          <t>VÄSTRA GÖTALANDS LÄN</t>
        </is>
      </c>
      <c r="E1869" t="inlineStr">
        <is>
          <t>HERRLJUNGA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47187-2021</t>
        </is>
      </c>
      <c r="B1870" s="1" t="n">
        <v>44447</v>
      </c>
      <c r="C1870" s="1" t="n">
        <v>46011</v>
      </c>
      <c r="D1870" t="inlineStr">
        <is>
          <t>VÄSTRA GÖTALANDS LÄN</t>
        </is>
      </c>
      <c r="E1870" t="inlineStr">
        <is>
          <t>ALINGSÅS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47189-2021</t>
        </is>
      </c>
      <c r="B1871" s="1" t="n">
        <v>44447.31424768519</v>
      </c>
      <c r="C1871" s="1" t="n">
        <v>46011</v>
      </c>
      <c r="D1871" t="inlineStr">
        <is>
          <t>VÄSTRA GÖTALANDS LÄN</t>
        </is>
      </c>
      <c r="E1871" t="inlineStr">
        <is>
          <t>SVENLJUNGA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47193-2021</t>
        </is>
      </c>
      <c r="B1872" s="1" t="n">
        <v>44447.32269675926</v>
      </c>
      <c r="C1872" s="1" t="n">
        <v>46011</v>
      </c>
      <c r="D1872" t="inlineStr">
        <is>
          <t>VÄSTRA GÖTALANDS LÄN</t>
        </is>
      </c>
      <c r="E1872" t="inlineStr">
        <is>
          <t>MARIESTAD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49597-2021</t>
        </is>
      </c>
      <c r="B1873" s="1" t="n">
        <v>44455.40453703704</v>
      </c>
      <c r="C1873" s="1" t="n">
        <v>46011</v>
      </c>
      <c r="D1873" t="inlineStr">
        <is>
          <t>VÄSTRA GÖTALANDS LÄN</t>
        </is>
      </c>
      <c r="E1873" t="inlineStr">
        <is>
          <t>HERRLJUNGA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16246-2021</t>
        </is>
      </c>
      <c r="B1874" s="1" t="n">
        <v>44292.56182870371</v>
      </c>
      <c r="C1874" s="1" t="n">
        <v>46011</v>
      </c>
      <c r="D1874" t="inlineStr">
        <is>
          <t>VÄSTRA GÖTALANDS LÄN</t>
        </is>
      </c>
      <c r="E1874" t="inlineStr">
        <is>
          <t>BORÅS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47284-2021</t>
        </is>
      </c>
      <c r="B1875" s="1" t="n">
        <v>44447</v>
      </c>
      <c r="C1875" s="1" t="n">
        <v>46011</v>
      </c>
      <c r="D1875" t="inlineStr">
        <is>
          <t>VÄSTRA GÖTALANDS LÄN</t>
        </is>
      </c>
      <c r="E1875" t="inlineStr">
        <is>
          <t>HERRLJUNGA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61943-2021</t>
        </is>
      </c>
      <c r="B1876" s="1" t="n">
        <v>44502.41795138889</v>
      </c>
      <c r="C1876" s="1" t="n">
        <v>46011</v>
      </c>
      <c r="D1876" t="inlineStr">
        <is>
          <t>VÄSTRA GÖTALANDS LÄN</t>
        </is>
      </c>
      <c r="E1876" t="inlineStr">
        <is>
          <t>BOLLEBYGD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61994-2021</t>
        </is>
      </c>
      <c r="B1877" s="1" t="n">
        <v>44502</v>
      </c>
      <c r="C1877" s="1" t="n">
        <v>46011</v>
      </c>
      <c r="D1877" t="inlineStr">
        <is>
          <t>VÄSTRA GÖTALANDS LÄN</t>
        </is>
      </c>
      <c r="E1877" t="inlineStr">
        <is>
          <t>TRANEMO</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62049-2021</t>
        </is>
      </c>
      <c r="B1878" s="1" t="n">
        <v>44501</v>
      </c>
      <c r="C1878" s="1" t="n">
        <v>46011</v>
      </c>
      <c r="D1878" t="inlineStr">
        <is>
          <t>VÄSTRA GÖTALANDS LÄN</t>
        </is>
      </c>
      <c r="E1878" t="inlineStr">
        <is>
          <t>VÅRGÅRDA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12543-2021</t>
        </is>
      </c>
      <c r="B1879" s="1" t="n">
        <v>44270.30571759259</v>
      </c>
      <c r="C1879" s="1" t="n">
        <v>46011</v>
      </c>
      <c r="D1879" t="inlineStr">
        <is>
          <t>VÄSTRA GÖTALANDS LÄN</t>
        </is>
      </c>
      <c r="E1879" t="inlineStr">
        <is>
          <t>TRANEMO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12548-2021</t>
        </is>
      </c>
      <c r="B1880" s="1" t="n">
        <v>44270</v>
      </c>
      <c r="C1880" s="1" t="n">
        <v>46011</v>
      </c>
      <c r="D1880" t="inlineStr">
        <is>
          <t>VÄSTRA GÖTALANDS LÄN</t>
        </is>
      </c>
      <c r="E1880" t="inlineStr">
        <is>
          <t>TRANEMO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11029-2021</t>
        </is>
      </c>
      <c r="B1881" s="1" t="n">
        <v>44260.52445601852</v>
      </c>
      <c r="C1881" s="1" t="n">
        <v>46011</v>
      </c>
      <c r="D1881" t="inlineStr">
        <is>
          <t>VÄSTRA GÖTALANDS LÄN</t>
        </is>
      </c>
      <c r="E1881" t="inlineStr">
        <is>
          <t>MARIESTAD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41630-2021</t>
        </is>
      </c>
      <c r="B1882" s="1" t="n">
        <v>44425.45646990741</v>
      </c>
      <c r="C1882" s="1" t="n">
        <v>46011</v>
      </c>
      <c r="D1882" t="inlineStr">
        <is>
          <t>VÄSTRA GÖTALANDS LÄN</t>
        </is>
      </c>
      <c r="E1882" t="inlineStr">
        <is>
          <t>LILLA EDET</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11934-2021</t>
        </is>
      </c>
      <c r="B1883" s="1" t="n">
        <v>44265</v>
      </c>
      <c r="C1883" s="1" t="n">
        <v>46011</v>
      </c>
      <c r="D1883" t="inlineStr">
        <is>
          <t>VÄSTRA GÖTALANDS LÄN</t>
        </is>
      </c>
      <c r="E1883" t="inlineStr">
        <is>
          <t>SKARA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37787-2021</t>
        </is>
      </c>
      <c r="B1884" s="1" t="n">
        <v>44401</v>
      </c>
      <c r="C1884" s="1" t="n">
        <v>46011</v>
      </c>
      <c r="D1884" t="inlineStr">
        <is>
          <t>VÄSTRA GÖTALANDS LÄN</t>
        </is>
      </c>
      <c r="E1884" t="inlineStr">
        <is>
          <t>ÅMÅL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51986-2021</t>
        </is>
      </c>
      <c r="B1885" s="1" t="n">
        <v>44463</v>
      </c>
      <c r="C1885" s="1" t="n">
        <v>46011</v>
      </c>
      <c r="D1885" t="inlineStr">
        <is>
          <t>VÄSTRA GÖTALANDS LÄN</t>
        </is>
      </c>
      <c r="E1885" t="inlineStr">
        <is>
          <t>BORÅS</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46825-2021</t>
        </is>
      </c>
      <c r="B1886" s="1" t="n">
        <v>44446</v>
      </c>
      <c r="C1886" s="1" t="n">
        <v>46011</v>
      </c>
      <c r="D1886" t="inlineStr">
        <is>
          <t>VÄSTRA GÖTALANDS LÄN</t>
        </is>
      </c>
      <c r="E1886" t="inlineStr">
        <is>
          <t>BENGTSFORS</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57-2022</t>
        </is>
      </c>
      <c r="B1887" s="1" t="n">
        <v>44564</v>
      </c>
      <c r="C1887" s="1" t="n">
        <v>46011</v>
      </c>
      <c r="D1887" t="inlineStr">
        <is>
          <t>VÄSTRA GÖTALANDS LÄN</t>
        </is>
      </c>
      <c r="E1887" t="inlineStr">
        <is>
          <t>MARK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8466-2021</t>
        </is>
      </c>
      <c r="B1888" s="1" t="n">
        <v>44245</v>
      </c>
      <c r="C1888" s="1" t="n">
        <v>46011</v>
      </c>
      <c r="D1888" t="inlineStr">
        <is>
          <t>VÄSTRA GÖTALANDS LÄN</t>
        </is>
      </c>
      <c r="E1888" t="inlineStr">
        <is>
          <t>SKARA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53204-2021</t>
        </is>
      </c>
      <c r="B1889" s="1" t="n">
        <v>44468</v>
      </c>
      <c r="C1889" s="1" t="n">
        <v>46011</v>
      </c>
      <c r="D1889" t="inlineStr">
        <is>
          <t>VÄSTRA GÖTALANDS LÄN</t>
        </is>
      </c>
      <c r="E1889" t="inlineStr">
        <is>
          <t>HÄRRYDA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58301-2021</t>
        </is>
      </c>
      <c r="B1890" s="1" t="n">
        <v>44488</v>
      </c>
      <c r="C1890" s="1" t="n">
        <v>46011</v>
      </c>
      <c r="D1890" t="inlineStr">
        <is>
          <t>VÄSTRA GÖTALANDS LÄN</t>
        </is>
      </c>
      <c r="E1890" t="inlineStr">
        <is>
          <t>VÄNERSBORG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60967-2021</t>
        </is>
      </c>
      <c r="B1891" s="1" t="n">
        <v>44497</v>
      </c>
      <c r="C1891" s="1" t="n">
        <v>46011</v>
      </c>
      <c r="D1891" t="inlineStr">
        <is>
          <t>VÄSTRA GÖTALANDS LÄN</t>
        </is>
      </c>
      <c r="E1891" t="inlineStr">
        <is>
          <t>MARK</t>
        </is>
      </c>
      <c r="F1891" t="inlineStr">
        <is>
          <t>Kyrkan</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7769-2021</t>
        </is>
      </c>
      <c r="B1892" s="1" t="n">
        <v>44242</v>
      </c>
      <c r="C1892" s="1" t="n">
        <v>46011</v>
      </c>
      <c r="D1892" t="inlineStr">
        <is>
          <t>VÄSTRA GÖTALANDS LÄN</t>
        </is>
      </c>
      <c r="E1892" t="inlineStr">
        <is>
          <t>HERRLJUNGA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7810-2021</t>
        </is>
      </c>
      <c r="B1893" s="1" t="n">
        <v>44242.61493055556</v>
      </c>
      <c r="C1893" s="1" t="n">
        <v>46011</v>
      </c>
      <c r="D1893" t="inlineStr">
        <is>
          <t>VÄSTRA GÖTALANDS LÄN</t>
        </is>
      </c>
      <c r="E1893" t="inlineStr">
        <is>
          <t>FÄRGELANDA</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48340-2022</t>
        </is>
      </c>
      <c r="B1894" s="1" t="n">
        <v>44858.56366898148</v>
      </c>
      <c r="C1894" s="1" t="n">
        <v>46011</v>
      </c>
      <c r="D1894" t="inlineStr">
        <is>
          <t>VÄSTRA GÖTALANDS LÄN</t>
        </is>
      </c>
      <c r="E1894" t="inlineStr">
        <is>
          <t>FÄRGELANDA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38054-2021</t>
        </is>
      </c>
      <c r="B1895" s="1" t="n">
        <v>44404</v>
      </c>
      <c r="C1895" s="1" t="n">
        <v>46011</v>
      </c>
      <c r="D1895" t="inlineStr">
        <is>
          <t>VÄSTRA GÖTALANDS LÄN</t>
        </is>
      </c>
      <c r="E1895" t="inlineStr">
        <is>
          <t>MARIESTAD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30191-2021</t>
        </is>
      </c>
      <c r="B1896" s="1" t="n">
        <v>44363</v>
      </c>
      <c r="C1896" s="1" t="n">
        <v>46011</v>
      </c>
      <c r="D1896" t="inlineStr">
        <is>
          <t>VÄSTRA GÖTALANDS LÄN</t>
        </is>
      </c>
      <c r="E1896" t="inlineStr">
        <is>
          <t>MARK</t>
        </is>
      </c>
      <c r="F1896" t="inlineStr">
        <is>
          <t>Kyrkan</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34863-2021</t>
        </is>
      </c>
      <c r="B1897" s="1" t="n">
        <v>44383.43858796296</v>
      </c>
      <c r="C1897" s="1" t="n">
        <v>46011</v>
      </c>
      <c r="D1897" t="inlineStr">
        <is>
          <t>VÄSTRA GÖTALANDS LÄN</t>
        </is>
      </c>
      <c r="E1897" t="inlineStr">
        <is>
          <t>BENGTSFORS</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53617-2021</t>
        </is>
      </c>
      <c r="B1898" s="1" t="n">
        <v>44469.38113425926</v>
      </c>
      <c r="C1898" s="1" t="n">
        <v>46011</v>
      </c>
      <c r="D1898" t="inlineStr">
        <is>
          <t>VÄSTRA GÖTALANDS LÄN</t>
        </is>
      </c>
      <c r="E1898" t="inlineStr">
        <is>
          <t>ULRICEHAMN</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14708-2021</t>
        </is>
      </c>
      <c r="B1899" s="1" t="n">
        <v>44280</v>
      </c>
      <c r="C1899" s="1" t="n">
        <v>46011</v>
      </c>
      <c r="D1899" t="inlineStr">
        <is>
          <t>VÄSTRA GÖTALANDS LÄN</t>
        </is>
      </c>
      <c r="E1899" t="inlineStr">
        <is>
          <t>VÄNERSBORG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54964-2021</t>
        </is>
      </c>
      <c r="B1900" s="1" t="n">
        <v>44474</v>
      </c>
      <c r="C1900" s="1" t="n">
        <v>46011</v>
      </c>
      <c r="D1900" t="inlineStr">
        <is>
          <t>VÄSTRA GÖTALANDS LÄN</t>
        </is>
      </c>
      <c r="E1900" t="inlineStr">
        <is>
          <t>VARA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53779-2021</t>
        </is>
      </c>
      <c r="B1901" s="1" t="n">
        <v>44467</v>
      </c>
      <c r="C1901" s="1" t="n">
        <v>46011</v>
      </c>
      <c r="D1901" t="inlineStr">
        <is>
          <t>VÄSTRA GÖTALANDS LÄN</t>
        </is>
      </c>
      <c r="E1901" t="inlineStr">
        <is>
          <t>MARK</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15620-2021</t>
        </is>
      </c>
      <c r="B1902" s="1" t="n">
        <v>44285</v>
      </c>
      <c r="C1902" s="1" t="n">
        <v>46011</v>
      </c>
      <c r="D1902" t="inlineStr">
        <is>
          <t>VÄSTRA GÖTALANDS LÄN</t>
        </is>
      </c>
      <c r="E1902" t="inlineStr">
        <is>
          <t>KARLSBORG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47048-2021</t>
        </is>
      </c>
      <c r="B1903" s="1" t="n">
        <v>44446</v>
      </c>
      <c r="C1903" s="1" t="n">
        <v>46011</v>
      </c>
      <c r="D1903" t="inlineStr">
        <is>
          <t>VÄSTRA GÖTALANDS LÄN</t>
        </is>
      </c>
      <c r="E1903" t="inlineStr">
        <is>
          <t>LIDKÖPING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15737-2021</t>
        </is>
      </c>
      <c r="B1904" s="1" t="n">
        <v>44286</v>
      </c>
      <c r="C1904" s="1" t="n">
        <v>46011</v>
      </c>
      <c r="D1904" t="inlineStr">
        <is>
          <t>VÄSTRA GÖTALANDS LÄN</t>
        </is>
      </c>
      <c r="E1904" t="inlineStr">
        <is>
          <t>TIDAHOLM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62992-2021</t>
        </is>
      </c>
      <c r="B1905" s="1" t="n">
        <v>44504</v>
      </c>
      <c r="C1905" s="1" t="n">
        <v>46011</v>
      </c>
      <c r="D1905" t="inlineStr">
        <is>
          <t>VÄSTRA GÖTALANDS LÄN</t>
        </is>
      </c>
      <c r="E1905" t="inlineStr">
        <is>
          <t>VARA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49082-2021</t>
        </is>
      </c>
      <c r="B1906" s="1" t="n">
        <v>44453</v>
      </c>
      <c r="C1906" s="1" t="n">
        <v>46011</v>
      </c>
      <c r="D1906" t="inlineStr">
        <is>
          <t>VÄSTRA GÖTALANDS LÄN</t>
        </is>
      </c>
      <c r="E1906" t="inlineStr">
        <is>
          <t>SVENLJUNGA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49106-2021</t>
        </is>
      </c>
      <c r="B1907" s="1" t="n">
        <v>44453.69256944444</v>
      </c>
      <c r="C1907" s="1" t="n">
        <v>46011</v>
      </c>
      <c r="D1907" t="inlineStr">
        <is>
          <t>VÄSTRA GÖTALANDS LÄN</t>
        </is>
      </c>
      <c r="E1907" t="inlineStr">
        <is>
          <t>MARIESTAD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57990-2021</t>
        </is>
      </c>
      <c r="B1908" s="1" t="n">
        <v>44487.40418981481</v>
      </c>
      <c r="C1908" s="1" t="n">
        <v>46011</v>
      </c>
      <c r="D1908" t="inlineStr">
        <is>
          <t>VÄSTRA GÖTALANDS LÄN</t>
        </is>
      </c>
      <c r="E1908" t="inlineStr">
        <is>
          <t>LIDKÖPING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58009-2021</t>
        </is>
      </c>
      <c r="B1909" s="1" t="n">
        <v>44456</v>
      </c>
      <c r="C1909" s="1" t="n">
        <v>46011</v>
      </c>
      <c r="D1909" t="inlineStr">
        <is>
          <t>VÄSTRA GÖTALANDS LÄN</t>
        </is>
      </c>
      <c r="E1909" t="inlineStr">
        <is>
          <t>TIDAHOLM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58030-2021</t>
        </is>
      </c>
      <c r="B1910" s="1" t="n">
        <v>44475</v>
      </c>
      <c r="C1910" s="1" t="n">
        <v>46011</v>
      </c>
      <c r="D1910" t="inlineStr">
        <is>
          <t>VÄSTRA GÖTALANDS LÄN</t>
        </is>
      </c>
      <c r="E1910" t="inlineStr">
        <is>
          <t>MARK</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59767-2021</t>
        </is>
      </c>
      <c r="B1911" s="1" t="n">
        <v>44494</v>
      </c>
      <c r="C1911" s="1" t="n">
        <v>46011</v>
      </c>
      <c r="D1911" t="inlineStr">
        <is>
          <t>VÄSTRA GÖTALANDS LÄN</t>
        </is>
      </c>
      <c r="E1911" t="inlineStr">
        <is>
          <t>HÄRRYDA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59945-2021</t>
        </is>
      </c>
      <c r="B1912" s="1" t="n">
        <v>44494</v>
      </c>
      <c r="C1912" s="1" t="n">
        <v>46011</v>
      </c>
      <c r="D1912" t="inlineStr">
        <is>
          <t>VÄSTRA GÖTALANDS LÄN</t>
        </is>
      </c>
      <c r="E1912" t="inlineStr">
        <is>
          <t>TÖREBODA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52971-2021</t>
        </is>
      </c>
      <c r="B1913" s="1" t="n">
        <v>44467.62484953704</v>
      </c>
      <c r="C1913" s="1" t="n">
        <v>46011</v>
      </c>
      <c r="D1913" t="inlineStr">
        <is>
          <t>VÄSTRA GÖTALANDS LÄN</t>
        </is>
      </c>
      <c r="E1913" t="inlineStr">
        <is>
          <t>SKARA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50694-2021</t>
        </is>
      </c>
      <c r="B1914" s="1" t="n">
        <v>44460</v>
      </c>
      <c r="C1914" s="1" t="n">
        <v>46011</v>
      </c>
      <c r="D1914" t="inlineStr">
        <is>
          <t>VÄSTRA GÖTALANDS LÄN</t>
        </is>
      </c>
      <c r="E1914" t="inlineStr">
        <is>
          <t>MELLERUD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55791-2022</t>
        </is>
      </c>
      <c r="B1915" s="1" t="n">
        <v>44888.63157407408</v>
      </c>
      <c r="C1915" s="1" t="n">
        <v>46011</v>
      </c>
      <c r="D1915" t="inlineStr">
        <is>
          <t>VÄSTRA GÖTALANDS LÄN</t>
        </is>
      </c>
      <c r="E1915" t="inlineStr">
        <is>
          <t>ORUST</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67111-2021</t>
        </is>
      </c>
      <c r="B1916" s="1" t="n">
        <v>44523.31064814814</v>
      </c>
      <c r="C1916" s="1" t="n">
        <v>46011</v>
      </c>
      <c r="D1916" t="inlineStr">
        <is>
          <t>VÄSTRA GÖTALANDS LÄN</t>
        </is>
      </c>
      <c r="E1916" t="inlineStr">
        <is>
          <t>BORÅS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25267-2021</t>
        </is>
      </c>
      <c r="B1917" s="1" t="n">
        <v>44342.44517361111</v>
      </c>
      <c r="C1917" s="1" t="n">
        <v>46011</v>
      </c>
      <c r="D1917" t="inlineStr">
        <is>
          <t>VÄSTRA GÖTALANDS LÄN</t>
        </is>
      </c>
      <c r="E1917" t="inlineStr">
        <is>
          <t>HÄRRYDA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25929-2021</t>
        </is>
      </c>
      <c r="B1918" s="1" t="n">
        <v>44344</v>
      </c>
      <c r="C1918" s="1" t="n">
        <v>46011</v>
      </c>
      <c r="D1918" t="inlineStr">
        <is>
          <t>VÄSTRA GÖTALANDS LÄN</t>
        </is>
      </c>
      <c r="E1918" t="inlineStr">
        <is>
          <t>SVENLJUNGA</t>
        </is>
      </c>
      <c r="F1918" t="inlineStr">
        <is>
          <t>Sveaskog</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59872-2021</t>
        </is>
      </c>
      <c r="B1919" s="1" t="n">
        <v>44494</v>
      </c>
      <c r="C1919" s="1" t="n">
        <v>46011</v>
      </c>
      <c r="D1919" t="inlineStr">
        <is>
          <t>VÄSTRA GÖTALANDS LÄN</t>
        </is>
      </c>
      <c r="E1919" t="inlineStr">
        <is>
          <t>STRÖMSTAD</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49719-2021</t>
        </is>
      </c>
      <c r="B1920" s="1" t="n">
        <v>44455.51653935185</v>
      </c>
      <c r="C1920" s="1" t="n">
        <v>46011</v>
      </c>
      <c r="D1920" t="inlineStr">
        <is>
          <t>VÄSTRA GÖTALANDS LÄN</t>
        </is>
      </c>
      <c r="E1920" t="inlineStr">
        <is>
          <t>VÅRGÅRDA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51172-2021</t>
        </is>
      </c>
      <c r="B1921" s="1" t="n">
        <v>44461</v>
      </c>
      <c r="C1921" s="1" t="n">
        <v>46011</v>
      </c>
      <c r="D1921" t="inlineStr">
        <is>
          <t>VÄSTRA GÖTALANDS LÄN</t>
        </is>
      </c>
      <c r="E1921" t="inlineStr">
        <is>
          <t>TROLLHÄTTAN</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60283-2021</t>
        </is>
      </c>
      <c r="B1922" s="1" t="n">
        <v>44495.71494212963</v>
      </c>
      <c r="C1922" s="1" t="n">
        <v>46011</v>
      </c>
      <c r="D1922" t="inlineStr">
        <is>
          <t>VÄSTRA GÖTALANDS LÄN</t>
        </is>
      </c>
      <c r="E1922" t="inlineStr">
        <is>
          <t>TRANEMO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25892-2021</t>
        </is>
      </c>
      <c r="B1923" s="1" t="n">
        <v>44344.39458333333</v>
      </c>
      <c r="C1923" s="1" t="n">
        <v>46011</v>
      </c>
      <c r="D1923" t="inlineStr">
        <is>
          <t>VÄSTRA GÖTALANDS LÄN</t>
        </is>
      </c>
      <c r="E1923" t="inlineStr">
        <is>
          <t>UDDEVALLA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49747-2021</t>
        </is>
      </c>
      <c r="B1924" s="1" t="n">
        <v>44453</v>
      </c>
      <c r="C1924" s="1" t="n">
        <v>46011</v>
      </c>
      <c r="D1924" t="inlineStr">
        <is>
          <t>VÄSTRA GÖTALANDS LÄN</t>
        </is>
      </c>
      <c r="E1924" t="inlineStr">
        <is>
          <t>BENGTSFORS</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66018-2021</t>
        </is>
      </c>
      <c r="B1925" s="1" t="n">
        <v>44517</v>
      </c>
      <c r="C1925" s="1" t="n">
        <v>46011</v>
      </c>
      <c r="D1925" t="inlineStr">
        <is>
          <t>VÄSTRA GÖTALANDS LÄN</t>
        </is>
      </c>
      <c r="E1925" t="inlineStr">
        <is>
          <t>SVENLJUNGA</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51573-2021</t>
        </is>
      </c>
      <c r="B1926" s="1" t="n">
        <v>44462</v>
      </c>
      <c r="C1926" s="1" t="n">
        <v>46011</v>
      </c>
      <c r="D1926" t="inlineStr">
        <is>
          <t>VÄSTRA GÖTALANDS LÄN</t>
        </is>
      </c>
      <c r="E1926" t="inlineStr">
        <is>
          <t>ULRICEHAMN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19941-2021</t>
        </is>
      </c>
      <c r="B1927" s="1" t="n">
        <v>44313</v>
      </c>
      <c r="C1927" s="1" t="n">
        <v>46011</v>
      </c>
      <c r="D1927" t="inlineStr">
        <is>
          <t>VÄSTRA GÖTALANDS LÄN</t>
        </is>
      </c>
      <c r="E1927" t="inlineStr">
        <is>
          <t>HERRLJUNGA</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21052-2021</t>
        </is>
      </c>
      <c r="B1928" s="1" t="n">
        <v>44319</v>
      </c>
      <c r="C1928" s="1" t="n">
        <v>46011</v>
      </c>
      <c r="D1928" t="inlineStr">
        <is>
          <t>VÄSTRA GÖTALANDS LÄN</t>
        </is>
      </c>
      <c r="E1928" t="inlineStr">
        <is>
          <t>ÅMÅL</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58043-2021</t>
        </is>
      </c>
      <c r="B1929" s="1" t="n">
        <v>44475</v>
      </c>
      <c r="C1929" s="1" t="n">
        <v>46011</v>
      </c>
      <c r="D1929" t="inlineStr">
        <is>
          <t>VÄSTRA GÖTALANDS LÄN</t>
        </is>
      </c>
      <c r="E1929" t="inlineStr">
        <is>
          <t>MARK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3461-2022</t>
        </is>
      </c>
      <c r="B1930" s="1" t="n">
        <v>44585</v>
      </c>
      <c r="C1930" s="1" t="n">
        <v>46011</v>
      </c>
      <c r="D1930" t="inlineStr">
        <is>
          <t>VÄSTRA GÖTALANDS LÄN</t>
        </is>
      </c>
      <c r="E1930" t="inlineStr">
        <is>
          <t>TRANEMO</t>
        </is>
      </c>
      <c r="F1930" t="inlineStr">
        <is>
          <t>Kyrkan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3465-2022</t>
        </is>
      </c>
      <c r="B1931" s="1" t="n">
        <v>44585</v>
      </c>
      <c r="C1931" s="1" t="n">
        <v>46011</v>
      </c>
      <c r="D1931" t="inlineStr">
        <is>
          <t>VÄSTRA GÖTALANDS LÄN</t>
        </is>
      </c>
      <c r="E1931" t="inlineStr">
        <is>
          <t>VÄNERSBORG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5594-2022</t>
        </is>
      </c>
      <c r="B1932" s="1" t="n">
        <v>44595</v>
      </c>
      <c r="C1932" s="1" t="n">
        <v>46011</v>
      </c>
      <c r="D1932" t="inlineStr">
        <is>
          <t>VÄSTRA GÖTALANDS LÄN</t>
        </is>
      </c>
      <c r="E1932" t="inlineStr">
        <is>
          <t>SKARA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63141-2021</t>
        </is>
      </c>
      <c r="B1933" s="1" t="n">
        <v>44505.79013888889</v>
      </c>
      <c r="C1933" s="1" t="n">
        <v>46011</v>
      </c>
      <c r="D1933" t="inlineStr">
        <is>
          <t>VÄSTRA GÖTALANDS LÄN</t>
        </is>
      </c>
      <c r="E1933" t="inlineStr">
        <is>
          <t>ORUST</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63170-2021</t>
        </is>
      </c>
      <c r="B1934" s="1" t="n">
        <v>44506</v>
      </c>
      <c r="C1934" s="1" t="n">
        <v>46011</v>
      </c>
      <c r="D1934" t="inlineStr">
        <is>
          <t>VÄSTRA GÖTALANDS LÄN</t>
        </is>
      </c>
      <c r="E1934" t="inlineStr">
        <is>
          <t>ULRICEHAMN</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63198-2021</t>
        </is>
      </c>
      <c r="B1935" s="1" t="n">
        <v>44507</v>
      </c>
      <c r="C1935" s="1" t="n">
        <v>46011</v>
      </c>
      <c r="D1935" t="inlineStr">
        <is>
          <t>VÄSTRA GÖTALANDS LÄN</t>
        </is>
      </c>
      <c r="E1935" t="inlineStr">
        <is>
          <t>GÖTENE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68243-2021</t>
        </is>
      </c>
      <c r="B1936" s="1" t="n">
        <v>44525</v>
      </c>
      <c r="C1936" s="1" t="n">
        <v>46011</v>
      </c>
      <c r="D1936" t="inlineStr">
        <is>
          <t>VÄSTRA GÖTALANDS LÄN</t>
        </is>
      </c>
      <c r="E1936" t="inlineStr">
        <is>
          <t>STRÖMSTAD</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60335-2021</t>
        </is>
      </c>
      <c r="B1937" s="1" t="n">
        <v>44496.26841435185</v>
      </c>
      <c r="C1937" s="1" t="n">
        <v>46011</v>
      </c>
      <c r="D1937" t="inlineStr">
        <is>
          <t>VÄSTRA GÖTALANDS LÄN</t>
        </is>
      </c>
      <c r="E1937" t="inlineStr">
        <is>
          <t>MARIESTAD</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60402-2021</t>
        </is>
      </c>
      <c r="B1938" s="1" t="n">
        <v>44496.38925925926</v>
      </c>
      <c r="C1938" s="1" t="n">
        <v>46011</v>
      </c>
      <c r="D1938" t="inlineStr">
        <is>
          <t>VÄSTRA GÖTALANDS LÄN</t>
        </is>
      </c>
      <c r="E1938" t="inlineStr">
        <is>
          <t>HERRLJUNGA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27632-2021</t>
        </is>
      </c>
      <c r="B1939" s="1" t="n">
        <v>44354.35579861111</v>
      </c>
      <c r="C1939" s="1" t="n">
        <v>46011</v>
      </c>
      <c r="D1939" t="inlineStr">
        <is>
          <t>VÄSTRA GÖTALANDS LÄN</t>
        </is>
      </c>
      <c r="E1939" t="inlineStr">
        <is>
          <t>MUNKEDAL</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27635-2021</t>
        </is>
      </c>
      <c r="B1940" s="1" t="n">
        <v>44354</v>
      </c>
      <c r="C1940" s="1" t="n">
        <v>46011</v>
      </c>
      <c r="D1940" t="inlineStr">
        <is>
          <t>VÄSTRA GÖTALANDS LÄN</t>
        </is>
      </c>
      <c r="E1940" t="inlineStr">
        <is>
          <t>GRÄSTORP</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23230-2021</t>
        </is>
      </c>
      <c r="B1941" s="1" t="n">
        <v>44332</v>
      </c>
      <c r="C1941" s="1" t="n">
        <v>46011</v>
      </c>
      <c r="D1941" t="inlineStr">
        <is>
          <t>VÄSTRA GÖTALANDS LÄN</t>
        </is>
      </c>
      <c r="E1941" t="inlineStr">
        <is>
          <t>FALKÖPING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60681-2021</t>
        </is>
      </c>
      <c r="B1942" s="1" t="n">
        <v>44496.65423611111</v>
      </c>
      <c r="C1942" s="1" t="n">
        <v>46011</v>
      </c>
      <c r="D1942" t="inlineStr">
        <is>
          <t>VÄSTRA GÖTALANDS LÄN</t>
        </is>
      </c>
      <c r="E1942" t="inlineStr">
        <is>
          <t>GULLSPÅNG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366-2021</t>
        </is>
      </c>
      <c r="B1943" s="1" t="n">
        <v>44201</v>
      </c>
      <c r="C1943" s="1" t="n">
        <v>46011</v>
      </c>
      <c r="D1943" t="inlineStr">
        <is>
          <t>VÄSTRA GÖTALANDS LÄN</t>
        </is>
      </c>
      <c r="E1943" t="inlineStr">
        <is>
          <t>HERRLJUNGA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27387-2021</t>
        </is>
      </c>
      <c r="B1944" s="1" t="n">
        <v>44351</v>
      </c>
      <c r="C1944" s="1" t="n">
        <v>46011</v>
      </c>
      <c r="D1944" t="inlineStr">
        <is>
          <t>VÄSTRA GÖTALANDS LÄN</t>
        </is>
      </c>
      <c r="E1944" t="inlineStr">
        <is>
          <t>MUNKEDAL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33-2022</t>
        </is>
      </c>
      <c r="B1945" s="1" t="n">
        <v>44564.36203703703</v>
      </c>
      <c r="C1945" s="1" t="n">
        <v>46011</v>
      </c>
      <c r="D1945" t="inlineStr">
        <is>
          <t>VÄSTRA GÖTALANDS LÄN</t>
        </is>
      </c>
      <c r="E1945" t="inlineStr">
        <is>
          <t>MARK</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70755-2021</t>
        </is>
      </c>
      <c r="B1946" s="1" t="n">
        <v>44537.6525462963</v>
      </c>
      <c r="C1946" s="1" t="n">
        <v>46011</v>
      </c>
      <c r="D1946" t="inlineStr">
        <is>
          <t>VÄSTRA GÖTALANDS LÄN</t>
        </is>
      </c>
      <c r="E1946" t="inlineStr">
        <is>
          <t>TRANEMO</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62365-2021</t>
        </is>
      </c>
      <c r="B1947" s="1" t="n">
        <v>44503.46024305555</v>
      </c>
      <c r="C1947" s="1" t="n">
        <v>46011</v>
      </c>
      <c r="D1947" t="inlineStr">
        <is>
          <t>VÄSTRA GÖTALANDS LÄN</t>
        </is>
      </c>
      <c r="E1947" t="inlineStr">
        <is>
          <t>FALKÖPING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26187-2022</t>
        </is>
      </c>
      <c r="B1948" s="1" t="n">
        <v>44735</v>
      </c>
      <c r="C1948" s="1" t="n">
        <v>46011</v>
      </c>
      <c r="D1948" t="inlineStr">
        <is>
          <t>VÄSTRA GÖTALANDS LÄN</t>
        </is>
      </c>
      <c r="E1948" t="inlineStr">
        <is>
          <t>TANUM</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63182-2021</t>
        </is>
      </c>
      <c r="B1949" s="1" t="n">
        <v>44507</v>
      </c>
      <c r="C1949" s="1" t="n">
        <v>46011</v>
      </c>
      <c r="D1949" t="inlineStr">
        <is>
          <t>VÄSTRA GÖTALANDS LÄN</t>
        </is>
      </c>
      <c r="E1949" t="inlineStr">
        <is>
          <t>TÖREBODA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21463-2021</t>
        </is>
      </c>
      <c r="B1950" s="1" t="n">
        <v>44321.48224537037</v>
      </c>
      <c r="C1950" s="1" t="n">
        <v>46011</v>
      </c>
      <c r="D1950" t="inlineStr">
        <is>
          <t>VÄSTRA GÖTALANDS LÄN</t>
        </is>
      </c>
      <c r="E1950" t="inlineStr">
        <is>
          <t>BENGTSFORS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24474-2021</t>
        </is>
      </c>
      <c r="B1951" s="1" t="n">
        <v>44337</v>
      </c>
      <c r="C1951" s="1" t="n">
        <v>46011</v>
      </c>
      <c r="D1951" t="inlineStr">
        <is>
          <t>VÄSTRA GÖTALANDS LÄN</t>
        </is>
      </c>
      <c r="E1951" t="inlineStr">
        <is>
          <t>SVENLJUNGA</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26592-2021</t>
        </is>
      </c>
      <c r="B1952" s="1" t="n">
        <v>44348</v>
      </c>
      <c r="C1952" s="1" t="n">
        <v>46011</v>
      </c>
      <c r="D1952" t="inlineStr">
        <is>
          <t>VÄSTRA GÖTALANDS LÄN</t>
        </is>
      </c>
      <c r="E1952" t="inlineStr">
        <is>
          <t>TRANEMO</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27106-2021</t>
        </is>
      </c>
      <c r="B1953" s="1" t="n">
        <v>44350</v>
      </c>
      <c r="C1953" s="1" t="n">
        <v>46011</v>
      </c>
      <c r="D1953" t="inlineStr">
        <is>
          <t>VÄSTRA GÖTALANDS LÄN</t>
        </is>
      </c>
      <c r="E1953" t="inlineStr">
        <is>
          <t>BORÅS</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55323-2021</t>
        </is>
      </c>
      <c r="B1954" s="1" t="n">
        <v>44475.46502314815</v>
      </c>
      <c r="C1954" s="1" t="n">
        <v>46011</v>
      </c>
      <c r="D1954" t="inlineStr">
        <is>
          <t>VÄSTRA GÖTALANDS LÄN</t>
        </is>
      </c>
      <c r="E1954" t="inlineStr">
        <is>
          <t>SVENLJUNGA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55332-2021</t>
        </is>
      </c>
      <c r="B1955" s="1" t="n">
        <v>44475.47101851852</v>
      </c>
      <c r="C1955" s="1" t="n">
        <v>46011</v>
      </c>
      <c r="D1955" t="inlineStr">
        <is>
          <t>VÄSTRA GÖTALANDS LÄN</t>
        </is>
      </c>
      <c r="E1955" t="inlineStr">
        <is>
          <t>SVENLJUNGA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55826-2021</t>
        </is>
      </c>
      <c r="B1956" s="1" t="n">
        <v>44476.61636574074</v>
      </c>
      <c r="C1956" s="1" t="n">
        <v>46011</v>
      </c>
      <c r="D1956" t="inlineStr">
        <is>
          <t>VÄSTRA GÖTALANDS LÄN</t>
        </is>
      </c>
      <c r="E1956" t="inlineStr">
        <is>
          <t>HERRLJUNGA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68699-2021</t>
        </is>
      </c>
      <c r="B1957" s="1" t="n">
        <v>44529.66766203703</v>
      </c>
      <c r="C1957" s="1" t="n">
        <v>46011</v>
      </c>
      <c r="D1957" t="inlineStr">
        <is>
          <t>VÄSTRA GÖTALANDS LÄN</t>
        </is>
      </c>
      <c r="E1957" t="inlineStr">
        <is>
          <t>FALKÖPING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68702-2021</t>
        </is>
      </c>
      <c r="B1958" s="1" t="n">
        <v>44529</v>
      </c>
      <c r="C1958" s="1" t="n">
        <v>46011</v>
      </c>
      <c r="D1958" t="inlineStr">
        <is>
          <t>VÄSTRA GÖTALANDS LÄN</t>
        </is>
      </c>
      <c r="E1958" t="inlineStr">
        <is>
          <t>UDDEVALLA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1399-2021</t>
        </is>
      </c>
      <c r="B1959" s="1" t="n">
        <v>44208</v>
      </c>
      <c r="C1959" s="1" t="n">
        <v>46011</v>
      </c>
      <c r="D1959" t="inlineStr">
        <is>
          <t>VÄSTRA GÖTALANDS LÄN</t>
        </is>
      </c>
      <c r="E1959" t="inlineStr">
        <is>
          <t>VARA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180-2022</t>
        </is>
      </c>
      <c r="B1960" s="1" t="n">
        <v>44564</v>
      </c>
      <c r="C1960" s="1" t="n">
        <v>46011</v>
      </c>
      <c r="D1960" t="inlineStr">
        <is>
          <t>VÄSTRA GÖTALANDS LÄN</t>
        </is>
      </c>
      <c r="E1960" t="inlineStr">
        <is>
          <t>VÅRGÅRDA</t>
        </is>
      </c>
      <c r="F1960" t="inlineStr">
        <is>
          <t>Kyrkan</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184-2022</t>
        </is>
      </c>
      <c r="B1961" s="1" t="n">
        <v>44563</v>
      </c>
      <c r="C1961" s="1" t="n">
        <v>46011</v>
      </c>
      <c r="D1961" t="inlineStr">
        <is>
          <t>VÄSTRA GÖTALANDS LÄN</t>
        </is>
      </c>
      <c r="E1961" t="inlineStr">
        <is>
          <t>TANUM</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28354-2021</t>
        </is>
      </c>
      <c r="B1962" s="1" t="n">
        <v>44356</v>
      </c>
      <c r="C1962" s="1" t="n">
        <v>46011</v>
      </c>
      <c r="D1962" t="inlineStr">
        <is>
          <t>VÄSTRA GÖTALANDS LÄN</t>
        </is>
      </c>
      <c r="E1962" t="inlineStr">
        <is>
          <t>MUNKEDAL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31568-2021</t>
        </is>
      </c>
      <c r="B1963" s="1" t="n">
        <v>44369</v>
      </c>
      <c r="C1963" s="1" t="n">
        <v>46011</v>
      </c>
      <c r="D1963" t="inlineStr">
        <is>
          <t>VÄSTRA GÖTALANDS LÄN</t>
        </is>
      </c>
      <c r="E1963" t="inlineStr">
        <is>
          <t>ALE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35216-2022</t>
        </is>
      </c>
      <c r="B1964" s="1" t="n">
        <v>44797.86921296296</v>
      </c>
      <c r="C1964" s="1" t="n">
        <v>46011</v>
      </c>
      <c r="D1964" t="inlineStr">
        <is>
          <t>VÄSTRA GÖTALANDS LÄN</t>
        </is>
      </c>
      <c r="E1964" t="inlineStr">
        <is>
          <t>HJO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34531-2021</t>
        </is>
      </c>
      <c r="B1965" s="1" t="n">
        <v>44382.40559027778</v>
      </c>
      <c r="C1965" s="1" t="n">
        <v>46011</v>
      </c>
      <c r="D1965" t="inlineStr">
        <is>
          <t>VÄSTRA GÖTALANDS LÄN</t>
        </is>
      </c>
      <c r="E1965" t="inlineStr">
        <is>
          <t>VÅRGÅRDA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468-2022</t>
        </is>
      </c>
      <c r="B1966" s="1" t="n">
        <v>44566</v>
      </c>
      <c r="C1966" s="1" t="n">
        <v>46011</v>
      </c>
      <c r="D1966" t="inlineStr">
        <is>
          <t>VÄSTRA GÖTALANDS LÄN</t>
        </is>
      </c>
      <c r="E1966" t="inlineStr">
        <is>
          <t>LERUM</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32049-2021</t>
        </is>
      </c>
      <c r="B1967" s="1" t="n">
        <v>44370.7040625</v>
      </c>
      <c r="C1967" s="1" t="n">
        <v>46011</v>
      </c>
      <c r="D1967" t="inlineStr">
        <is>
          <t>VÄSTRA GÖTALANDS LÄN</t>
        </is>
      </c>
      <c r="E1967" t="inlineStr">
        <is>
          <t>TRANEMO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63142-2021</t>
        </is>
      </c>
      <c r="B1968" s="1" t="n">
        <v>44505</v>
      </c>
      <c r="C1968" s="1" t="n">
        <v>46011</v>
      </c>
      <c r="D1968" t="inlineStr">
        <is>
          <t>VÄSTRA GÖTALANDS LÄN</t>
        </is>
      </c>
      <c r="E1968" t="inlineStr">
        <is>
          <t>VÅRGÅRDA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60849-2021</t>
        </is>
      </c>
      <c r="B1969" s="1" t="n">
        <v>44497.36775462963</v>
      </c>
      <c r="C1969" s="1" t="n">
        <v>46011</v>
      </c>
      <c r="D1969" t="inlineStr">
        <is>
          <t>VÄSTRA GÖTALANDS LÄN</t>
        </is>
      </c>
      <c r="E1969" t="inlineStr">
        <is>
          <t>BENGTSFORS</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60857-2021</t>
        </is>
      </c>
      <c r="B1970" s="1" t="n">
        <v>44497</v>
      </c>
      <c r="C1970" s="1" t="n">
        <v>46011</v>
      </c>
      <c r="D1970" t="inlineStr">
        <is>
          <t>VÄSTRA GÖTALANDS LÄN</t>
        </is>
      </c>
      <c r="E1970" t="inlineStr">
        <is>
          <t>SVENLJUNGA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34656-2021</t>
        </is>
      </c>
      <c r="B1971" s="1" t="n">
        <v>44382</v>
      </c>
      <c r="C1971" s="1" t="n">
        <v>46011</v>
      </c>
      <c r="D1971" t="inlineStr">
        <is>
          <t>VÄSTRA GÖTALANDS LÄN</t>
        </is>
      </c>
      <c r="E1971" t="inlineStr">
        <is>
          <t>SKARA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55900-2021</t>
        </is>
      </c>
      <c r="B1972" s="1" t="n">
        <v>44476.85804398148</v>
      </c>
      <c r="C1972" s="1" t="n">
        <v>46011</v>
      </c>
      <c r="D1972" t="inlineStr">
        <is>
          <t>VÄSTRA GÖTALANDS LÄN</t>
        </is>
      </c>
      <c r="E1972" t="inlineStr">
        <is>
          <t>BENGTSFORS</t>
        </is>
      </c>
      <c r="G1972" t="n">
        <v>10.7</v>
      </c>
      <c r="H1972" t="n">
        <v>0</v>
      </c>
      <c r="I1972" t="n">
        <v>0</v>
      </c>
      <c r="J1972" t="n">
        <v>0</v>
      </c>
      <c r="K1972" t="n">
        <v>0</v>
      </c>
      <c r="L1972" t="n">
        <v>0</v>
      </c>
      <c r="M1972" t="n">
        <v>0</v>
      </c>
      <c r="N1972" t="n">
        <v>0</v>
      </c>
      <c r="O1972" t="n">
        <v>0</v>
      </c>
      <c r="P1972" t="n">
        <v>0</v>
      </c>
      <c r="Q1972" t="n">
        <v>0</v>
      </c>
      <c r="R1972" s="2" t="inlineStr"/>
    </row>
    <row r="1973" ht="15" customHeight="1">
      <c r="A1973" t="inlineStr">
        <is>
          <t>A 33963-2022</t>
        </is>
      </c>
      <c r="B1973" s="1" t="n">
        <v>44790.69194444444</v>
      </c>
      <c r="C1973" s="1" t="n">
        <v>46011</v>
      </c>
      <c r="D1973" t="inlineStr">
        <is>
          <t>VÄSTRA GÖTALANDS LÄN</t>
        </is>
      </c>
      <c r="E1973" t="inlineStr">
        <is>
          <t>HERRLJUNGA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7559-2021</t>
        </is>
      </c>
      <c r="B1974" s="1" t="n">
        <v>44239</v>
      </c>
      <c r="C1974" s="1" t="n">
        <v>46011</v>
      </c>
      <c r="D1974" t="inlineStr">
        <is>
          <t>VÄSTRA GÖTALANDS LÄN</t>
        </is>
      </c>
      <c r="E1974" t="inlineStr">
        <is>
          <t>LIDKÖPING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5633-2021</t>
        </is>
      </c>
      <c r="B1975" s="1" t="n">
        <v>44230</v>
      </c>
      <c r="C1975" s="1" t="n">
        <v>46011</v>
      </c>
      <c r="D1975" t="inlineStr">
        <is>
          <t>VÄSTRA GÖTALANDS LÄN</t>
        </is>
      </c>
      <c r="E1975" t="inlineStr">
        <is>
          <t>BOLLEBYGD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5698-2021</t>
        </is>
      </c>
      <c r="B1976" s="1" t="n">
        <v>44230</v>
      </c>
      <c r="C1976" s="1" t="n">
        <v>46011</v>
      </c>
      <c r="D1976" t="inlineStr">
        <is>
          <t>VÄSTRA GÖTALANDS LÄN</t>
        </is>
      </c>
      <c r="E1976" t="inlineStr">
        <is>
          <t>FALKÖPING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19245-2022</t>
        </is>
      </c>
      <c r="B1977" s="1" t="n">
        <v>44692.38447916666</v>
      </c>
      <c r="C1977" s="1" t="n">
        <v>46011</v>
      </c>
      <c r="D1977" t="inlineStr">
        <is>
          <t>VÄSTRA GÖTALANDS LÄN</t>
        </is>
      </c>
      <c r="E1977" t="inlineStr">
        <is>
          <t>SVENLJUNGA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19293-2022</t>
        </is>
      </c>
      <c r="B1978" s="1" t="n">
        <v>44692</v>
      </c>
      <c r="C1978" s="1" t="n">
        <v>46011</v>
      </c>
      <c r="D1978" t="inlineStr">
        <is>
          <t>VÄSTRA GÖTALANDS LÄN</t>
        </is>
      </c>
      <c r="E1978" t="inlineStr">
        <is>
          <t>BENGTSFORS</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68526-2020</t>
        </is>
      </c>
      <c r="B1979" s="1" t="n">
        <v>44186</v>
      </c>
      <c r="C1979" s="1" t="n">
        <v>46011</v>
      </c>
      <c r="D1979" t="inlineStr">
        <is>
          <t>VÄSTRA GÖTALANDS LÄN</t>
        </is>
      </c>
      <c r="E1979" t="inlineStr">
        <is>
          <t>TRANEMO</t>
        </is>
      </c>
      <c r="F1979" t="inlineStr">
        <is>
          <t>Kyrkan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35089-2021</t>
        </is>
      </c>
      <c r="B1980" s="1" t="n">
        <v>44383</v>
      </c>
      <c r="C1980" s="1" t="n">
        <v>46011</v>
      </c>
      <c r="D1980" t="inlineStr">
        <is>
          <t>VÄSTRA GÖTALANDS LÄN</t>
        </is>
      </c>
      <c r="E1980" t="inlineStr">
        <is>
          <t>BOLLEBYGD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63323-2021</t>
        </is>
      </c>
      <c r="B1981" s="1" t="n">
        <v>44506</v>
      </c>
      <c r="C1981" s="1" t="n">
        <v>46011</v>
      </c>
      <c r="D1981" t="inlineStr">
        <is>
          <t>VÄSTRA GÖTALANDS LÄN</t>
        </is>
      </c>
      <c r="E1981" t="inlineStr">
        <is>
          <t>TANUM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63341-2021</t>
        </is>
      </c>
      <c r="B1982" s="1" t="n">
        <v>44506</v>
      </c>
      <c r="C1982" s="1" t="n">
        <v>46011</v>
      </c>
      <c r="D1982" t="inlineStr">
        <is>
          <t>VÄSTRA GÖTALANDS LÄN</t>
        </is>
      </c>
      <c r="E1982" t="inlineStr">
        <is>
          <t>TANUM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41536-2021</t>
        </is>
      </c>
      <c r="B1983" s="1" t="n">
        <v>44425.34505787037</v>
      </c>
      <c r="C1983" s="1" t="n">
        <v>46011</v>
      </c>
      <c r="D1983" t="inlineStr">
        <is>
          <t>VÄSTRA GÖTALANDS LÄN</t>
        </is>
      </c>
      <c r="E1983" t="inlineStr">
        <is>
          <t>MARK</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13884-2021</t>
        </is>
      </c>
      <c r="B1984" s="1" t="n">
        <v>44277</v>
      </c>
      <c r="C1984" s="1" t="n">
        <v>46011</v>
      </c>
      <c r="D1984" t="inlineStr">
        <is>
          <t>VÄSTRA GÖTALANDS LÄN</t>
        </is>
      </c>
      <c r="E1984" t="inlineStr">
        <is>
          <t>MUNKEDAL</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9297-2021</t>
        </is>
      </c>
      <c r="B1985" s="1" t="n">
        <v>44250</v>
      </c>
      <c r="C1985" s="1" t="n">
        <v>46011</v>
      </c>
      <c r="D1985" t="inlineStr">
        <is>
          <t>VÄSTRA GÖTALANDS LÄN</t>
        </is>
      </c>
      <c r="E1985" t="inlineStr">
        <is>
          <t>KUNGÄLV</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63370-2021</t>
        </is>
      </c>
      <c r="B1986" s="1" t="n">
        <v>44506</v>
      </c>
      <c r="C1986" s="1" t="n">
        <v>46011</v>
      </c>
      <c r="D1986" t="inlineStr">
        <is>
          <t>VÄSTRA GÖTALANDS LÄN</t>
        </is>
      </c>
      <c r="E1986" t="inlineStr">
        <is>
          <t>TANUM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19188-2022</t>
        </is>
      </c>
      <c r="B1987" s="1" t="n">
        <v>44691</v>
      </c>
      <c r="C1987" s="1" t="n">
        <v>46011</v>
      </c>
      <c r="D1987" t="inlineStr">
        <is>
          <t>VÄSTRA GÖTALANDS LÄN</t>
        </is>
      </c>
      <c r="E1987" t="inlineStr">
        <is>
          <t>MUNKEDAL</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6586-2022</t>
        </is>
      </c>
      <c r="B1988" s="1" t="n">
        <v>44601</v>
      </c>
      <c r="C1988" s="1" t="n">
        <v>46011</v>
      </c>
      <c r="D1988" t="inlineStr">
        <is>
          <t>VÄSTRA GÖTALANDS LÄN</t>
        </is>
      </c>
      <c r="E1988" t="inlineStr">
        <is>
          <t>BENGTSFORS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13969-2021</t>
        </is>
      </c>
      <c r="B1989" s="1" t="n">
        <v>44277</v>
      </c>
      <c r="C1989" s="1" t="n">
        <v>46011</v>
      </c>
      <c r="D1989" t="inlineStr">
        <is>
          <t>VÄSTRA GÖTALANDS LÄN</t>
        </is>
      </c>
      <c r="E1989" t="inlineStr">
        <is>
          <t>MUNKEDAL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14043-2021</t>
        </is>
      </c>
      <c r="B1990" s="1" t="n">
        <v>44277</v>
      </c>
      <c r="C1990" s="1" t="n">
        <v>46011</v>
      </c>
      <c r="D1990" t="inlineStr">
        <is>
          <t>VÄSTRA GÖTALANDS LÄN</t>
        </is>
      </c>
      <c r="E1990" t="inlineStr">
        <is>
          <t>SKÖVDE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19835-2022</t>
        </is>
      </c>
      <c r="B1991" s="1" t="n">
        <v>44696</v>
      </c>
      <c r="C1991" s="1" t="n">
        <v>46011</v>
      </c>
      <c r="D1991" t="inlineStr">
        <is>
          <t>VÄSTRA GÖTALANDS LÄN</t>
        </is>
      </c>
      <c r="E1991" t="inlineStr">
        <is>
          <t>MARK</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47508-2021</t>
        </is>
      </c>
      <c r="B1992" s="1" t="n">
        <v>44447.71224537037</v>
      </c>
      <c r="C1992" s="1" t="n">
        <v>46011</v>
      </c>
      <c r="D1992" t="inlineStr">
        <is>
          <t>VÄSTRA GÖTALANDS LÄN</t>
        </is>
      </c>
      <c r="E1992" t="inlineStr">
        <is>
          <t>BORÅS</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19716-2022</t>
        </is>
      </c>
      <c r="B1993" s="1" t="n">
        <v>44694</v>
      </c>
      <c r="C1993" s="1" t="n">
        <v>46011</v>
      </c>
      <c r="D1993" t="inlineStr">
        <is>
          <t>VÄSTRA GÖTALANDS LÄN</t>
        </is>
      </c>
      <c r="E1993" t="inlineStr">
        <is>
          <t>BENGTSFORS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47504-2021</t>
        </is>
      </c>
      <c r="B1994" s="1" t="n">
        <v>44447.6977662037</v>
      </c>
      <c r="C1994" s="1" t="n">
        <v>46011</v>
      </c>
      <c r="D1994" t="inlineStr">
        <is>
          <t>VÄSTRA GÖTALANDS LÄN</t>
        </is>
      </c>
      <c r="E1994" t="inlineStr">
        <is>
          <t>BORÅS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6604-2022</t>
        </is>
      </c>
      <c r="B1995" s="1" t="n">
        <v>44601.67113425926</v>
      </c>
      <c r="C1995" s="1" t="n">
        <v>46011</v>
      </c>
      <c r="D1995" t="inlineStr">
        <is>
          <t>VÄSTRA GÖTALANDS LÄN</t>
        </is>
      </c>
      <c r="E1995" t="inlineStr">
        <is>
          <t>HERRLJUNGA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64609-2021</t>
        </is>
      </c>
      <c r="B1996" s="1" t="n">
        <v>44511.74078703704</v>
      </c>
      <c r="C1996" s="1" t="n">
        <v>46011</v>
      </c>
      <c r="D1996" t="inlineStr">
        <is>
          <t>VÄSTRA GÖTALANDS LÄN</t>
        </is>
      </c>
      <c r="E1996" t="inlineStr">
        <is>
          <t>BORÅS</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42501-2021</t>
        </is>
      </c>
      <c r="B1997" s="1" t="n">
        <v>44427</v>
      </c>
      <c r="C1997" s="1" t="n">
        <v>46011</v>
      </c>
      <c r="D1997" t="inlineStr">
        <is>
          <t>VÄSTRA GÖTALANDS LÄN</t>
        </is>
      </c>
      <c r="E1997" t="inlineStr">
        <is>
          <t>KARLSBORG</t>
        </is>
      </c>
      <c r="F1997" t="inlineStr">
        <is>
          <t>Övriga Aktiebolag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1427-2022</t>
        </is>
      </c>
      <c r="B1998" s="1" t="n">
        <v>44573</v>
      </c>
      <c r="C1998" s="1" t="n">
        <v>46011</v>
      </c>
      <c r="D1998" t="inlineStr">
        <is>
          <t>VÄSTRA GÖTALANDS LÄN</t>
        </is>
      </c>
      <c r="E1998" t="inlineStr">
        <is>
          <t>TANUM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1457-2022</t>
        </is>
      </c>
      <c r="B1999" s="1" t="n">
        <v>44573</v>
      </c>
      <c r="C1999" s="1" t="n">
        <v>46011</v>
      </c>
      <c r="D1999" t="inlineStr">
        <is>
          <t>VÄSTRA GÖTALANDS LÄN</t>
        </is>
      </c>
      <c r="E1999" t="inlineStr">
        <is>
          <t>TIDAHOLM</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50492-2021</t>
        </is>
      </c>
      <c r="B2000" s="1" t="n">
        <v>44459</v>
      </c>
      <c r="C2000" s="1" t="n">
        <v>46011</v>
      </c>
      <c r="D2000" t="inlineStr">
        <is>
          <t>VÄSTRA GÖTALANDS LÄN</t>
        </is>
      </c>
      <c r="E2000" t="inlineStr">
        <is>
          <t>HERRLJUNGA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11887-2021</t>
        </is>
      </c>
      <c r="B2001" s="1" t="n">
        <v>44265</v>
      </c>
      <c r="C2001" s="1" t="n">
        <v>46011</v>
      </c>
      <c r="D2001" t="inlineStr">
        <is>
          <t>VÄSTRA GÖTALANDS LÄN</t>
        </is>
      </c>
      <c r="E2001" t="inlineStr">
        <is>
          <t>FALKÖPING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12206-2021</t>
        </is>
      </c>
      <c r="B2002" s="1" t="n">
        <v>44266</v>
      </c>
      <c r="C2002" s="1" t="n">
        <v>46011</v>
      </c>
      <c r="D2002" t="inlineStr">
        <is>
          <t>VÄSTRA GÖTALANDS LÄN</t>
        </is>
      </c>
      <c r="E2002" t="inlineStr">
        <is>
          <t>KARLSBORG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47466-2021</t>
        </is>
      </c>
      <c r="B2003" s="1" t="n">
        <v>44447</v>
      </c>
      <c r="C2003" s="1" t="n">
        <v>46011</v>
      </c>
      <c r="D2003" t="inlineStr">
        <is>
          <t>VÄSTRA GÖTALANDS LÄN</t>
        </is>
      </c>
      <c r="E2003" t="inlineStr">
        <is>
          <t>ULRICEHAMN</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14359-2022</t>
        </is>
      </c>
      <c r="B2004" s="1" t="n">
        <v>44652.45527777778</v>
      </c>
      <c r="C2004" s="1" t="n">
        <v>46011</v>
      </c>
      <c r="D2004" t="inlineStr">
        <is>
          <t>VÄSTRA GÖTALANDS LÄN</t>
        </is>
      </c>
      <c r="E2004" t="inlineStr">
        <is>
          <t>ALINGSÅS</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46978-2021</t>
        </is>
      </c>
      <c r="B2005" s="1" t="n">
        <v>44446</v>
      </c>
      <c r="C2005" s="1" t="n">
        <v>46011</v>
      </c>
      <c r="D2005" t="inlineStr">
        <is>
          <t>VÄSTRA GÖTALANDS LÄN</t>
        </is>
      </c>
      <c r="E2005" t="inlineStr">
        <is>
          <t>GÖTENE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25558-2022</t>
        </is>
      </c>
      <c r="B2006" s="1" t="n">
        <v>44732</v>
      </c>
      <c r="C2006" s="1" t="n">
        <v>46011</v>
      </c>
      <c r="D2006" t="inlineStr">
        <is>
          <t>VÄSTRA GÖTALANDS LÄN</t>
        </is>
      </c>
      <c r="E2006" t="inlineStr">
        <is>
          <t>ULRICEHAMN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46285-2021</t>
        </is>
      </c>
      <c r="B2007" s="1" t="n">
        <v>44442.58653935185</v>
      </c>
      <c r="C2007" s="1" t="n">
        <v>46011</v>
      </c>
      <c r="D2007" t="inlineStr">
        <is>
          <t>VÄSTRA GÖTALANDS LÄN</t>
        </is>
      </c>
      <c r="E2007" t="inlineStr">
        <is>
          <t>BENGTSFORS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15006-2022</t>
        </is>
      </c>
      <c r="B2008" s="1" t="n">
        <v>44657</v>
      </c>
      <c r="C2008" s="1" t="n">
        <v>46011</v>
      </c>
      <c r="D2008" t="inlineStr">
        <is>
          <t>VÄSTRA GÖTALANDS LÄN</t>
        </is>
      </c>
      <c r="E2008" t="inlineStr">
        <is>
          <t>ORUST</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15049-2022</t>
        </is>
      </c>
      <c r="B2009" s="1" t="n">
        <v>44657</v>
      </c>
      <c r="C2009" s="1" t="n">
        <v>46011</v>
      </c>
      <c r="D2009" t="inlineStr">
        <is>
          <t>VÄSTRA GÖTALANDS LÄN</t>
        </is>
      </c>
      <c r="E2009" t="inlineStr">
        <is>
          <t>ULRICEHAMN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4422-2022</t>
        </is>
      </c>
      <c r="B2010" s="1" t="n">
        <v>44589</v>
      </c>
      <c r="C2010" s="1" t="n">
        <v>46011</v>
      </c>
      <c r="D2010" t="inlineStr">
        <is>
          <t>VÄSTRA GÖTALANDS LÄN</t>
        </is>
      </c>
      <c r="E2010" t="inlineStr">
        <is>
          <t>TRANEMO</t>
        </is>
      </c>
      <c r="F2010" t="inlineStr">
        <is>
          <t>Kyrkan</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38252-2021</t>
        </is>
      </c>
      <c r="B2011" s="1" t="n">
        <v>44405</v>
      </c>
      <c r="C2011" s="1" t="n">
        <v>46011</v>
      </c>
      <c r="D2011" t="inlineStr">
        <is>
          <t>VÄSTRA GÖTALANDS LÄN</t>
        </is>
      </c>
      <c r="E2011" t="inlineStr">
        <is>
          <t>GÖTENE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10302-2021</t>
        </is>
      </c>
      <c r="B2012" s="1" t="n">
        <v>44257</v>
      </c>
      <c r="C2012" s="1" t="n">
        <v>46011</v>
      </c>
      <c r="D2012" t="inlineStr">
        <is>
          <t>VÄSTRA GÖTALANDS LÄN</t>
        </is>
      </c>
      <c r="E2012" t="inlineStr">
        <is>
          <t>BOLLEBYGD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15370-2022</t>
        </is>
      </c>
      <c r="B2013" s="1" t="n">
        <v>44659</v>
      </c>
      <c r="C2013" s="1" t="n">
        <v>46011</v>
      </c>
      <c r="D2013" t="inlineStr">
        <is>
          <t>VÄSTRA GÖTALANDS LÄN</t>
        </is>
      </c>
      <c r="E2013" t="inlineStr">
        <is>
          <t>HERRLJUNGA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18625-2022</t>
        </is>
      </c>
      <c r="B2014" s="1" t="n">
        <v>44687.44456018518</v>
      </c>
      <c r="C2014" s="1" t="n">
        <v>46011</v>
      </c>
      <c r="D2014" t="inlineStr">
        <is>
          <t>VÄSTRA GÖTALANDS LÄN</t>
        </is>
      </c>
      <c r="E2014" t="inlineStr">
        <is>
          <t>KARLSBORG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33399-2021</t>
        </is>
      </c>
      <c r="B2015" s="1" t="n">
        <v>44377.57690972222</v>
      </c>
      <c r="C2015" s="1" t="n">
        <v>46011</v>
      </c>
      <c r="D2015" t="inlineStr">
        <is>
          <t>VÄSTRA GÖTALANDS LÄN</t>
        </is>
      </c>
      <c r="E2015" t="inlineStr">
        <is>
          <t>ESSUNGA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34380-2021</t>
        </is>
      </c>
      <c r="B2016" s="1" t="n">
        <v>44379.89332175926</v>
      </c>
      <c r="C2016" s="1" t="n">
        <v>46011</v>
      </c>
      <c r="D2016" t="inlineStr">
        <is>
          <t>VÄSTRA GÖTALANDS LÄN</t>
        </is>
      </c>
      <c r="E2016" t="inlineStr">
        <is>
          <t>VÄNERSBORG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16866-2022</t>
        </is>
      </c>
      <c r="B2017" s="1" t="n">
        <v>44675.52387731482</v>
      </c>
      <c r="C2017" s="1" t="n">
        <v>46011</v>
      </c>
      <c r="D2017" t="inlineStr">
        <is>
          <t>VÄSTRA GÖTALANDS LÄN</t>
        </is>
      </c>
      <c r="E2017" t="inlineStr">
        <is>
          <t>TRANEMO</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16935-2022</t>
        </is>
      </c>
      <c r="B2018" s="1" t="n">
        <v>44676.46662037037</v>
      </c>
      <c r="C2018" s="1" t="n">
        <v>46011</v>
      </c>
      <c r="D2018" t="inlineStr">
        <is>
          <t>VÄSTRA GÖTALANDS LÄN</t>
        </is>
      </c>
      <c r="E2018" t="inlineStr">
        <is>
          <t>DALS-ED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30827-2022</t>
        </is>
      </c>
      <c r="B2019" s="1" t="n">
        <v>44758</v>
      </c>
      <c r="C2019" s="1" t="n">
        <v>46011</v>
      </c>
      <c r="D2019" t="inlineStr">
        <is>
          <t>VÄSTRA GÖTALANDS LÄN</t>
        </is>
      </c>
      <c r="E2019" t="inlineStr">
        <is>
          <t>MARIESTAD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39016-2021</t>
        </is>
      </c>
      <c r="B2020" s="1" t="n">
        <v>44412</v>
      </c>
      <c r="C2020" s="1" t="n">
        <v>46011</v>
      </c>
      <c r="D2020" t="inlineStr">
        <is>
          <t>VÄSTRA GÖTALANDS LÄN</t>
        </is>
      </c>
      <c r="E2020" t="inlineStr">
        <is>
          <t>DALS-ED</t>
        </is>
      </c>
      <c r="G2020" t="n">
        <v>12.3</v>
      </c>
      <c r="H2020" t="n">
        <v>0</v>
      </c>
      <c r="I2020" t="n">
        <v>0</v>
      </c>
      <c r="J2020" t="n">
        <v>0</v>
      </c>
      <c r="K2020" t="n">
        <v>0</v>
      </c>
      <c r="L2020" t="n">
        <v>0</v>
      </c>
      <c r="M2020" t="n">
        <v>0</v>
      </c>
      <c r="N2020" t="n">
        <v>0</v>
      </c>
      <c r="O2020" t="n">
        <v>0</v>
      </c>
      <c r="P2020" t="n">
        <v>0</v>
      </c>
      <c r="Q2020" t="n">
        <v>0</v>
      </c>
      <c r="R2020" s="2" t="inlineStr"/>
    </row>
    <row r="2021" ht="15" customHeight="1">
      <c r="A2021" t="inlineStr">
        <is>
          <t>A 50202-2021</t>
        </is>
      </c>
      <c r="B2021" s="1" t="n">
        <v>44457</v>
      </c>
      <c r="C2021" s="1" t="n">
        <v>46011</v>
      </c>
      <c r="D2021" t="inlineStr">
        <is>
          <t>VÄSTRA GÖTALANDS LÄN</t>
        </is>
      </c>
      <c r="E2021" t="inlineStr">
        <is>
          <t>STRÖMSTAD</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71863-2021</t>
        </is>
      </c>
      <c r="B2022" s="1" t="n">
        <v>44543</v>
      </c>
      <c r="C2022" s="1" t="n">
        <v>46011</v>
      </c>
      <c r="D2022" t="inlineStr">
        <is>
          <t>VÄSTRA GÖTALANDS LÄN</t>
        </is>
      </c>
      <c r="E2022" t="inlineStr">
        <is>
          <t>ULRICEHAMN</t>
        </is>
      </c>
      <c r="F2022" t="inlineStr">
        <is>
          <t>Sveaskog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23074-2021</t>
        </is>
      </c>
      <c r="B2023" s="1" t="n">
        <v>44330.35582175926</v>
      </c>
      <c r="C2023" s="1" t="n">
        <v>46011</v>
      </c>
      <c r="D2023" t="inlineStr">
        <is>
          <t>VÄSTRA GÖTALANDS LÄN</t>
        </is>
      </c>
      <c r="E2023" t="inlineStr">
        <is>
          <t>BORÅS</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12454-2021</t>
        </is>
      </c>
      <c r="B2024" s="1" t="n">
        <v>44267</v>
      </c>
      <c r="C2024" s="1" t="n">
        <v>46011</v>
      </c>
      <c r="D2024" t="inlineStr">
        <is>
          <t>VÄSTRA GÖTALANDS LÄN</t>
        </is>
      </c>
      <c r="E2024" t="inlineStr">
        <is>
          <t>VARA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46336-2021</t>
        </is>
      </c>
      <c r="B2025" s="1" t="n">
        <v>44442</v>
      </c>
      <c r="C2025" s="1" t="n">
        <v>46011</v>
      </c>
      <c r="D2025" t="inlineStr">
        <is>
          <t>VÄSTRA GÖTALANDS LÄN</t>
        </is>
      </c>
      <c r="E2025" t="inlineStr">
        <is>
          <t>DALS-ED</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46390-2021</t>
        </is>
      </c>
      <c r="B2026" s="1" t="n">
        <v>44443.36594907408</v>
      </c>
      <c r="C2026" s="1" t="n">
        <v>46011</v>
      </c>
      <c r="D2026" t="inlineStr">
        <is>
          <t>VÄSTRA GÖTALANDS LÄN</t>
        </is>
      </c>
      <c r="E2026" t="inlineStr">
        <is>
          <t>SVENLJUNGA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2640-2022</t>
        </is>
      </c>
      <c r="B2027" s="1" t="n">
        <v>44580</v>
      </c>
      <c r="C2027" s="1" t="n">
        <v>46011</v>
      </c>
      <c r="D2027" t="inlineStr">
        <is>
          <t>VÄSTRA GÖTALANDS LÄN</t>
        </is>
      </c>
      <c r="E2027" t="inlineStr">
        <is>
          <t>GULLSPÅNG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18466-2021</t>
        </is>
      </c>
      <c r="B2028" s="1" t="n">
        <v>44306.27186342593</v>
      </c>
      <c r="C2028" s="1" t="n">
        <v>46011</v>
      </c>
      <c r="D2028" t="inlineStr">
        <is>
          <t>VÄSTRA GÖTALANDS LÄN</t>
        </is>
      </c>
      <c r="E2028" t="inlineStr">
        <is>
          <t>BORÅS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55768-2021</t>
        </is>
      </c>
      <c r="B2029" s="1" t="n">
        <v>44476.53376157407</v>
      </c>
      <c r="C2029" s="1" t="n">
        <v>46011</v>
      </c>
      <c r="D2029" t="inlineStr">
        <is>
          <t>VÄSTRA GÖTALANDS LÄN</t>
        </is>
      </c>
      <c r="E2029" t="inlineStr">
        <is>
          <t>LILLA EDET</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23736-2022</t>
        </is>
      </c>
      <c r="B2030" s="1" t="n">
        <v>44722.35153935185</v>
      </c>
      <c r="C2030" s="1" t="n">
        <v>46011</v>
      </c>
      <c r="D2030" t="inlineStr">
        <is>
          <t>VÄSTRA GÖTALANDS LÄN</t>
        </is>
      </c>
      <c r="E2030" t="inlineStr">
        <is>
          <t>TRANEMO</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8236-2021</t>
        </is>
      </c>
      <c r="B2031" s="1" t="n">
        <v>44244.5500925926</v>
      </c>
      <c r="C2031" s="1" t="n">
        <v>46011</v>
      </c>
      <c r="D2031" t="inlineStr">
        <is>
          <t>VÄSTRA GÖTALANDS LÄN</t>
        </is>
      </c>
      <c r="E2031" t="inlineStr">
        <is>
          <t>HERRLJUNGA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7747-2022</t>
        </is>
      </c>
      <c r="B2032" s="1" t="n">
        <v>44608.39469907407</v>
      </c>
      <c r="C2032" s="1" t="n">
        <v>46011</v>
      </c>
      <c r="D2032" t="inlineStr">
        <is>
          <t>VÄSTRA GÖTALANDS LÄN</t>
        </is>
      </c>
      <c r="E2032" t="inlineStr">
        <is>
          <t>TROLLHÄTTAN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20989-2022</t>
        </is>
      </c>
      <c r="B2033" s="1" t="n">
        <v>44703.80895833333</v>
      </c>
      <c r="C2033" s="1" t="n">
        <v>46011</v>
      </c>
      <c r="D2033" t="inlineStr">
        <is>
          <t>VÄSTRA GÖTALANDS LÄN</t>
        </is>
      </c>
      <c r="E2033" t="inlineStr">
        <is>
          <t>TIDAHOLM</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15711-2021</t>
        </is>
      </c>
      <c r="B2034" s="1" t="n">
        <v>44286</v>
      </c>
      <c r="C2034" s="1" t="n">
        <v>46011</v>
      </c>
      <c r="D2034" t="inlineStr">
        <is>
          <t>VÄSTRA GÖTALANDS LÄN</t>
        </is>
      </c>
      <c r="E2034" t="inlineStr">
        <is>
          <t>BORÅS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56496-2021</t>
        </is>
      </c>
      <c r="B2035" s="1" t="n">
        <v>44480</v>
      </c>
      <c r="C2035" s="1" t="n">
        <v>46011</v>
      </c>
      <c r="D2035" t="inlineStr">
        <is>
          <t>VÄSTRA GÖTALANDS LÄN</t>
        </is>
      </c>
      <c r="E2035" t="inlineStr">
        <is>
          <t>ORUST</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41954-2021</t>
        </is>
      </c>
      <c r="B2036" s="1" t="n">
        <v>44426</v>
      </c>
      <c r="C2036" s="1" t="n">
        <v>46011</v>
      </c>
      <c r="D2036" t="inlineStr">
        <is>
          <t>VÄSTRA GÖTALANDS LÄN</t>
        </is>
      </c>
      <c r="E2036" t="inlineStr">
        <is>
          <t>KARLSBORG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23005-2022</t>
        </is>
      </c>
      <c r="B2037" s="1" t="n">
        <v>44719.31350694445</v>
      </c>
      <c r="C2037" s="1" t="n">
        <v>46011</v>
      </c>
      <c r="D2037" t="inlineStr">
        <is>
          <t>VÄSTRA GÖTALANDS LÄN</t>
        </is>
      </c>
      <c r="E2037" t="inlineStr">
        <is>
          <t>TÖREBODA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8286-2022</t>
        </is>
      </c>
      <c r="B2038" s="1" t="n">
        <v>44610</v>
      </c>
      <c r="C2038" s="1" t="n">
        <v>46011</v>
      </c>
      <c r="D2038" t="inlineStr">
        <is>
          <t>VÄSTRA GÖTALANDS LÄN</t>
        </is>
      </c>
      <c r="E2038" t="inlineStr">
        <is>
          <t>ORUST</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7322-2022</t>
        </is>
      </c>
      <c r="B2039" s="1" t="n">
        <v>44606</v>
      </c>
      <c r="C2039" s="1" t="n">
        <v>46011</v>
      </c>
      <c r="D2039" t="inlineStr">
        <is>
          <t>VÄSTRA GÖTALANDS LÄN</t>
        </is>
      </c>
      <c r="E2039" t="inlineStr">
        <is>
          <t>BORÅS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8183-2022</t>
        </is>
      </c>
      <c r="B2040" s="1" t="n">
        <v>44609.66342592592</v>
      </c>
      <c r="C2040" s="1" t="n">
        <v>46011</v>
      </c>
      <c r="D2040" t="inlineStr">
        <is>
          <t>VÄSTRA GÖTALANDS LÄN</t>
        </is>
      </c>
      <c r="E2040" t="inlineStr">
        <is>
          <t>GRÄSTORP</t>
        </is>
      </c>
      <c r="G2040" t="n">
        <v>0</v>
      </c>
      <c r="H2040" t="n">
        <v>0</v>
      </c>
      <c r="I2040" t="n">
        <v>0</v>
      </c>
      <c r="J2040" t="n">
        <v>0</v>
      </c>
      <c r="K2040" t="n">
        <v>0</v>
      </c>
      <c r="L2040" t="n">
        <v>0</v>
      </c>
      <c r="M2040" t="n">
        <v>0</v>
      </c>
      <c r="N2040" t="n">
        <v>0</v>
      </c>
      <c r="O2040" t="n">
        <v>0</v>
      </c>
      <c r="P2040" t="n">
        <v>0</v>
      </c>
      <c r="Q2040" t="n">
        <v>0</v>
      </c>
      <c r="R2040" s="2" t="inlineStr"/>
    </row>
    <row r="2041" ht="15" customHeight="1">
      <c r="A2041" t="inlineStr">
        <is>
          <t>A 50648-2021</t>
        </is>
      </c>
      <c r="B2041" s="1" t="n">
        <v>44459.89270833333</v>
      </c>
      <c r="C2041" s="1" t="n">
        <v>46011</v>
      </c>
      <c r="D2041" t="inlineStr">
        <is>
          <t>VÄSTRA GÖTALANDS LÄN</t>
        </is>
      </c>
      <c r="E2041" t="inlineStr">
        <is>
          <t>KUNGÄLV</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30180-2021</t>
        </is>
      </c>
      <c r="B2042" s="1" t="n">
        <v>44363</v>
      </c>
      <c r="C2042" s="1" t="n">
        <v>46011</v>
      </c>
      <c r="D2042" t="inlineStr">
        <is>
          <t>VÄSTRA GÖTALANDS LÄN</t>
        </is>
      </c>
      <c r="E2042" t="inlineStr">
        <is>
          <t>HERRLJUNGA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5265-2022</t>
        </is>
      </c>
      <c r="B2043" s="1" t="n">
        <v>44594</v>
      </c>
      <c r="C2043" s="1" t="n">
        <v>46011</v>
      </c>
      <c r="D2043" t="inlineStr">
        <is>
          <t>VÄSTRA GÖTALANDS LÄN</t>
        </is>
      </c>
      <c r="E2043" t="inlineStr">
        <is>
          <t>FALKÖPING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56650-2021</t>
        </is>
      </c>
      <c r="B2044" s="1" t="n">
        <v>44480</v>
      </c>
      <c r="C2044" s="1" t="n">
        <v>46011</v>
      </c>
      <c r="D2044" t="inlineStr">
        <is>
          <t>VÄSTRA GÖTALANDS LÄN</t>
        </is>
      </c>
      <c r="E2044" t="inlineStr">
        <is>
          <t>UDDEVALLA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22114-2021</t>
        </is>
      </c>
      <c r="B2045" s="1" t="n">
        <v>44323.72275462963</v>
      </c>
      <c r="C2045" s="1" t="n">
        <v>46011</v>
      </c>
      <c r="D2045" t="inlineStr">
        <is>
          <t>VÄSTRA GÖTALANDS LÄN</t>
        </is>
      </c>
      <c r="E2045" t="inlineStr">
        <is>
          <t>BOLLEBYGD</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50413-2021</t>
        </is>
      </c>
      <c r="B2046" s="1" t="n">
        <v>44459</v>
      </c>
      <c r="C2046" s="1" t="n">
        <v>46011</v>
      </c>
      <c r="D2046" t="inlineStr">
        <is>
          <t>VÄSTRA GÖTALANDS LÄN</t>
        </is>
      </c>
      <c r="E2046" t="inlineStr">
        <is>
          <t>KUNGÄLV</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2287-2022</t>
        </is>
      </c>
      <c r="B2047" s="1" t="n">
        <v>44578</v>
      </c>
      <c r="C2047" s="1" t="n">
        <v>46011</v>
      </c>
      <c r="D2047" t="inlineStr">
        <is>
          <t>VÄSTRA GÖTALANDS LÄN</t>
        </is>
      </c>
      <c r="E2047" t="inlineStr">
        <is>
          <t>DALS-ED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2355-2022</t>
        </is>
      </c>
      <c r="B2048" s="1" t="n">
        <v>44578.94528935185</v>
      </c>
      <c r="C2048" s="1" t="n">
        <v>46011</v>
      </c>
      <c r="D2048" t="inlineStr">
        <is>
          <t>VÄSTRA GÖTALANDS LÄN</t>
        </is>
      </c>
      <c r="E2048" t="inlineStr">
        <is>
          <t>MELLERUD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27615-2022</t>
        </is>
      </c>
      <c r="B2049" s="1" t="n">
        <v>44743.30945601852</v>
      </c>
      <c r="C2049" s="1" t="n">
        <v>46011</v>
      </c>
      <c r="D2049" t="inlineStr">
        <is>
          <t>VÄSTRA GÖTALANDS LÄN</t>
        </is>
      </c>
      <c r="E2049" t="inlineStr">
        <is>
          <t>VÅRGÅRDA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13741-2022</t>
        </is>
      </c>
      <c r="B2050" s="1" t="n">
        <v>44649</v>
      </c>
      <c r="C2050" s="1" t="n">
        <v>46011</v>
      </c>
      <c r="D2050" t="inlineStr">
        <is>
          <t>VÄSTRA GÖTALANDS LÄN</t>
        </is>
      </c>
      <c r="E2050" t="inlineStr">
        <is>
          <t>BENGTSFORS</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31159-2022</t>
        </is>
      </c>
      <c r="B2051" s="1" t="n">
        <v>44770</v>
      </c>
      <c r="C2051" s="1" t="n">
        <v>46011</v>
      </c>
      <c r="D2051" t="inlineStr">
        <is>
          <t>VÄSTRA GÖTALANDS LÄN</t>
        </is>
      </c>
      <c r="E2051" t="inlineStr">
        <is>
          <t>LIDKÖPING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64211-2021</t>
        </is>
      </c>
      <c r="B2052" s="1" t="n">
        <v>44510</v>
      </c>
      <c r="C2052" s="1" t="n">
        <v>46011</v>
      </c>
      <c r="D2052" t="inlineStr">
        <is>
          <t>VÄSTRA GÖTALANDS LÄN</t>
        </is>
      </c>
      <c r="E2052" t="inlineStr">
        <is>
          <t>ALINGSÅS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52953-2021</t>
        </is>
      </c>
      <c r="B2053" s="1" t="n">
        <v>44467</v>
      </c>
      <c r="C2053" s="1" t="n">
        <v>46011</v>
      </c>
      <c r="D2053" t="inlineStr">
        <is>
          <t>VÄSTRA GÖTALANDS LÄN</t>
        </is>
      </c>
      <c r="E2053" t="inlineStr">
        <is>
          <t>LILLA EDET</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7531-2022</t>
        </is>
      </c>
      <c r="B2054" s="1" t="n">
        <v>44607</v>
      </c>
      <c r="C2054" s="1" t="n">
        <v>46011</v>
      </c>
      <c r="D2054" t="inlineStr">
        <is>
          <t>VÄSTRA GÖTALANDS LÄN</t>
        </is>
      </c>
      <c r="E2054" t="inlineStr">
        <is>
          <t>VÅRGÅRDA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14668-2022</t>
        </is>
      </c>
      <c r="B2055" s="1" t="n">
        <v>44655.78991898148</v>
      </c>
      <c r="C2055" s="1" t="n">
        <v>46011</v>
      </c>
      <c r="D2055" t="inlineStr">
        <is>
          <t>VÄSTRA GÖTALANDS LÄN</t>
        </is>
      </c>
      <c r="E2055" t="inlineStr">
        <is>
          <t>ULRICEHAMN</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7329-2022</t>
        </is>
      </c>
      <c r="B2056" s="1" t="n">
        <v>44606</v>
      </c>
      <c r="C2056" s="1" t="n">
        <v>46011</v>
      </c>
      <c r="D2056" t="inlineStr">
        <is>
          <t>VÄSTRA GÖTALANDS LÄN</t>
        </is>
      </c>
      <c r="E2056" t="inlineStr">
        <is>
          <t>STRÖMSTAD</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56026-2022</t>
        </is>
      </c>
      <c r="B2057" s="1" t="n">
        <v>44889.54108796296</v>
      </c>
      <c r="C2057" s="1" t="n">
        <v>46011</v>
      </c>
      <c r="D2057" t="inlineStr">
        <is>
          <t>VÄSTRA GÖTALANDS LÄN</t>
        </is>
      </c>
      <c r="E2057" t="inlineStr">
        <is>
          <t>BENGTSFORS</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21487-2021</t>
        </is>
      </c>
      <c r="B2058" s="1" t="n">
        <v>44320</v>
      </c>
      <c r="C2058" s="1" t="n">
        <v>46011</v>
      </c>
      <c r="D2058" t="inlineStr">
        <is>
          <t>VÄSTRA GÖTALANDS LÄN</t>
        </is>
      </c>
      <c r="E2058" t="inlineStr">
        <is>
          <t>SOTENÄS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21586-2021</t>
        </is>
      </c>
      <c r="B2059" s="1" t="n">
        <v>44321.66145833334</v>
      </c>
      <c r="C2059" s="1" t="n">
        <v>46011</v>
      </c>
      <c r="D2059" t="inlineStr">
        <is>
          <t>VÄSTRA GÖTALANDS LÄN</t>
        </is>
      </c>
      <c r="E2059" t="inlineStr">
        <is>
          <t>MARK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48614-2022</t>
        </is>
      </c>
      <c r="B2060" s="1" t="n">
        <v>44854</v>
      </c>
      <c r="C2060" s="1" t="n">
        <v>46011</v>
      </c>
      <c r="D2060" t="inlineStr">
        <is>
          <t>VÄSTRA GÖTALANDS LÄN</t>
        </is>
      </c>
      <c r="E2060" t="inlineStr">
        <is>
          <t>ULRICEHAMN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31714-2022</t>
        </is>
      </c>
      <c r="B2061" s="1" t="n">
        <v>44776</v>
      </c>
      <c r="C2061" s="1" t="n">
        <v>46011</v>
      </c>
      <c r="D2061" t="inlineStr">
        <is>
          <t>VÄSTRA GÖTALANDS LÄN</t>
        </is>
      </c>
      <c r="E2061" t="inlineStr">
        <is>
          <t>ULRICEHAMN</t>
        </is>
      </c>
      <c r="G2061" t="n">
        <v>0</v>
      </c>
      <c r="H2061" t="n">
        <v>0</v>
      </c>
      <c r="I2061" t="n">
        <v>0</v>
      </c>
      <c r="J2061" t="n">
        <v>0</v>
      </c>
      <c r="K2061" t="n">
        <v>0</v>
      </c>
      <c r="L2061" t="n">
        <v>0</v>
      </c>
      <c r="M2061" t="n">
        <v>0</v>
      </c>
      <c r="N2061" t="n">
        <v>0</v>
      </c>
      <c r="O2061" t="n">
        <v>0</v>
      </c>
      <c r="P2061" t="n">
        <v>0</v>
      </c>
      <c r="Q2061" t="n">
        <v>0</v>
      </c>
      <c r="R2061" s="2" t="inlineStr"/>
    </row>
    <row r="2062" ht="15" customHeight="1">
      <c r="A2062" t="inlineStr">
        <is>
          <t>A 31715-2022</t>
        </is>
      </c>
      <c r="B2062" s="1" t="n">
        <v>44776</v>
      </c>
      <c r="C2062" s="1" t="n">
        <v>46011</v>
      </c>
      <c r="D2062" t="inlineStr">
        <is>
          <t>VÄSTRA GÖTALANDS LÄN</t>
        </is>
      </c>
      <c r="E2062" t="inlineStr">
        <is>
          <t>BENGTSFORS</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25629-2021</t>
        </is>
      </c>
      <c r="B2063" s="1" t="n">
        <v>44343.50334490741</v>
      </c>
      <c r="C2063" s="1" t="n">
        <v>46011</v>
      </c>
      <c r="D2063" t="inlineStr">
        <is>
          <t>VÄSTRA GÖTALANDS LÄN</t>
        </is>
      </c>
      <c r="E2063" t="inlineStr">
        <is>
          <t>TIDAHOLM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9014-2022</t>
        </is>
      </c>
      <c r="B2064" s="1" t="n">
        <v>44615.37123842593</v>
      </c>
      <c r="C2064" s="1" t="n">
        <v>46011</v>
      </c>
      <c r="D2064" t="inlineStr">
        <is>
          <t>VÄSTRA GÖTALANDS LÄN</t>
        </is>
      </c>
      <c r="E2064" t="inlineStr">
        <is>
          <t>MARK</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24952-2021</t>
        </is>
      </c>
      <c r="B2065" s="1" t="n">
        <v>44341</v>
      </c>
      <c r="C2065" s="1" t="n">
        <v>46011</v>
      </c>
      <c r="D2065" t="inlineStr">
        <is>
          <t>VÄSTRA GÖTALANDS LÄN</t>
        </is>
      </c>
      <c r="E2065" t="inlineStr">
        <is>
          <t>LIDKÖPING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28253-2022</t>
        </is>
      </c>
      <c r="B2066" s="1" t="n">
        <v>44746.7121412037</v>
      </c>
      <c r="C2066" s="1" t="n">
        <v>46011</v>
      </c>
      <c r="D2066" t="inlineStr">
        <is>
          <t>VÄSTRA GÖTALANDS LÄN</t>
        </is>
      </c>
      <c r="E2066" t="inlineStr">
        <is>
          <t>VARA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31712-2022</t>
        </is>
      </c>
      <c r="B2067" s="1" t="n">
        <v>44776.44586805555</v>
      </c>
      <c r="C2067" s="1" t="n">
        <v>46011</v>
      </c>
      <c r="D2067" t="inlineStr">
        <is>
          <t>VÄSTRA GÖTALANDS LÄN</t>
        </is>
      </c>
      <c r="E2067" t="inlineStr">
        <is>
          <t>BENGTSFORS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54489-2021</t>
        </is>
      </c>
      <c r="B2068" s="1" t="n">
        <v>44473</v>
      </c>
      <c r="C2068" s="1" t="n">
        <v>46011</v>
      </c>
      <c r="D2068" t="inlineStr">
        <is>
          <t>VÄSTRA GÖTALANDS LÄN</t>
        </is>
      </c>
      <c r="E2068" t="inlineStr">
        <is>
          <t>LYSEKIL</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7192-2022</t>
        </is>
      </c>
      <c r="B2069" s="1" t="n">
        <v>44605.77613425926</v>
      </c>
      <c r="C2069" s="1" t="n">
        <v>46011</v>
      </c>
      <c r="D2069" t="inlineStr">
        <is>
          <t>VÄSTRA GÖTALANDS LÄN</t>
        </is>
      </c>
      <c r="E2069" t="inlineStr">
        <is>
          <t>BORÅS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8502-2022</t>
        </is>
      </c>
      <c r="B2070" s="1" t="n">
        <v>44613</v>
      </c>
      <c r="C2070" s="1" t="n">
        <v>46011</v>
      </c>
      <c r="D2070" t="inlineStr">
        <is>
          <t>VÄSTRA GÖTALANDS LÄN</t>
        </is>
      </c>
      <c r="E2070" t="inlineStr">
        <is>
          <t>TIDAHOLM</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19544-2022</t>
        </is>
      </c>
      <c r="B2071" s="1" t="n">
        <v>44693</v>
      </c>
      <c r="C2071" s="1" t="n">
        <v>46011</v>
      </c>
      <c r="D2071" t="inlineStr">
        <is>
          <t>VÄSTRA GÖTALANDS LÄN</t>
        </is>
      </c>
      <c r="E2071" t="inlineStr">
        <is>
          <t>MARIESTAD</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19561-2022</t>
        </is>
      </c>
      <c r="B2072" s="1" t="n">
        <v>44693.66460648148</v>
      </c>
      <c r="C2072" s="1" t="n">
        <v>46011</v>
      </c>
      <c r="D2072" t="inlineStr">
        <is>
          <t>VÄSTRA GÖTALANDS LÄN</t>
        </is>
      </c>
      <c r="E2072" t="inlineStr">
        <is>
          <t>VÄNERSBORG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54601-2021</t>
        </is>
      </c>
      <c r="B2073" s="1" t="n">
        <v>44473</v>
      </c>
      <c r="C2073" s="1" t="n">
        <v>46011</v>
      </c>
      <c r="D2073" t="inlineStr">
        <is>
          <t>VÄSTRA GÖTALANDS LÄN</t>
        </is>
      </c>
      <c r="E2073" t="inlineStr">
        <is>
          <t>STENUNGSUND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31580-2022</t>
        </is>
      </c>
      <c r="B2074" s="1" t="n">
        <v>44775</v>
      </c>
      <c r="C2074" s="1" t="n">
        <v>46011</v>
      </c>
      <c r="D2074" t="inlineStr">
        <is>
          <t>VÄSTRA GÖTALANDS LÄN</t>
        </is>
      </c>
      <c r="E2074" t="inlineStr">
        <is>
          <t>ULRICEHAMN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31448-2021</t>
        </is>
      </c>
      <c r="B2075" s="1" t="n">
        <v>44369</v>
      </c>
      <c r="C2075" s="1" t="n">
        <v>46011</v>
      </c>
      <c r="D2075" t="inlineStr">
        <is>
          <t>VÄSTRA GÖTALANDS LÄN</t>
        </is>
      </c>
      <c r="E2075" t="inlineStr">
        <is>
          <t>GÖTENE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60859-2021</t>
        </is>
      </c>
      <c r="B2076" s="1" t="n">
        <v>44497</v>
      </c>
      <c r="C2076" s="1" t="n">
        <v>46011</v>
      </c>
      <c r="D2076" t="inlineStr">
        <is>
          <t>VÄSTRA GÖTALANDS LÄN</t>
        </is>
      </c>
      <c r="E2076" t="inlineStr">
        <is>
          <t>MUNKEDAL</t>
        </is>
      </c>
      <c r="F2076" t="inlineStr">
        <is>
          <t>Kyrkan</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31598-2022</t>
        </is>
      </c>
      <c r="B2077" s="1" t="n">
        <v>44775.58739583333</v>
      </c>
      <c r="C2077" s="1" t="n">
        <v>46011</v>
      </c>
      <c r="D2077" t="inlineStr">
        <is>
          <t>VÄSTRA GÖTALANDS LÄN</t>
        </is>
      </c>
      <c r="E2077" t="inlineStr">
        <is>
          <t>HERRLJUNGA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25338-2021</t>
        </is>
      </c>
      <c r="B2078" s="1" t="n">
        <v>44342</v>
      </c>
      <c r="C2078" s="1" t="n">
        <v>46011</v>
      </c>
      <c r="D2078" t="inlineStr">
        <is>
          <t>VÄSTRA GÖTALANDS LÄN</t>
        </is>
      </c>
      <c r="E2078" t="inlineStr">
        <is>
          <t>BORÅS</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13608-2021</t>
        </is>
      </c>
      <c r="B2079" s="1" t="n">
        <v>44274.37195601852</v>
      </c>
      <c r="C2079" s="1" t="n">
        <v>46011</v>
      </c>
      <c r="D2079" t="inlineStr">
        <is>
          <t>VÄSTRA GÖTALANDS LÄN</t>
        </is>
      </c>
      <c r="E2079" t="inlineStr">
        <is>
          <t>TRANEMO</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12828-2022</t>
        </is>
      </c>
      <c r="B2080" s="1" t="n">
        <v>44642.43065972222</v>
      </c>
      <c r="C2080" s="1" t="n">
        <v>46011</v>
      </c>
      <c r="D2080" t="inlineStr">
        <is>
          <t>VÄSTRA GÖTALANDS LÄN</t>
        </is>
      </c>
      <c r="E2080" t="inlineStr">
        <is>
          <t>VÄNERSBORG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60914-2021</t>
        </is>
      </c>
      <c r="B2081" s="1" t="n">
        <v>44497.45621527778</v>
      </c>
      <c r="C2081" s="1" t="n">
        <v>46011</v>
      </c>
      <c r="D2081" t="inlineStr">
        <is>
          <t>VÄSTRA GÖTALANDS LÄN</t>
        </is>
      </c>
      <c r="E2081" t="inlineStr">
        <is>
          <t>FALKÖPING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14782-2021</t>
        </is>
      </c>
      <c r="B2082" s="1" t="n">
        <v>44280</v>
      </c>
      <c r="C2082" s="1" t="n">
        <v>46011</v>
      </c>
      <c r="D2082" t="inlineStr">
        <is>
          <t>VÄSTRA GÖTALANDS LÄN</t>
        </is>
      </c>
      <c r="E2082" t="inlineStr">
        <is>
          <t>STENUNGSUND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24603-2021</t>
        </is>
      </c>
      <c r="B2083" s="1" t="n">
        <v>44340</v>
      </c>
      <c r="C2083" s="1" t="n">
        <v>46011</v>
      </c>
      <c r="D2083" t="inlineStr">
        <is>
          <t>VÄSTRA GÖTALANDS LÄN</t>
        </is>
      </c>
      <c r="E2083" t="inlineStr">
        <is>
          <t>MARIESTAD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12836-2022</t>
        </is>
      </c>
      <c r="B2084" s="1" t="n">
        <v>44642.44318287037</v>
      </c>
      <c r="C2084" s="1" t="n">
        <v>46011</v>
      </c>
      <c r="D2084" t="inlineStr">
        <is>
          <t>VÄSTRA GÖTALANDS LÄN</t>
        </is>
      </c>
      <c r="E2084" t="inlineStr">
        <is>
          <t>VÄNERSBORG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22240-2022</t>
        </is>
      </c>
      <c r="B2085" s="1" t="n">
        <v>44712</v>
      </c>
      <c r="C2085" s="1" t="n">
        <v>46011</v>
      </c>
      <c r="D2085" t="inlineStr">
        <is>
          <t>VÄSTRA GÖTALANDS LÄN</t>
        </is>
      </c>
      <c r="E2085" t="inlineStr">
        <is>
          <t>LERUM</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45538-2022</t>
        </is>
      </c>
      <c r="B2086" s="1" t="n">
        <v>44845</v>
      </c>
      <c r="C2086" s="1" t="n">
        <v>46011</v>
      </c>
      <c r="D2086" t="inlineStr">
        <is>
          <t>VÄSTRA GÖTALANDS LÄN</t>
        </is>
      </c>
      <c r="E2086" t="inlineStr">
        <is>
          <t>BORÅS</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45547-2022</t>
        </is>
      </c>
      <c r="B2087" s="1" t="n">
        <v>44845.48042824074</v>
      </c>
      <c r="C2087" s="1" t="n">
        <v>46011</v>
      </c>
      <c r="D2087" t="inlineStr">
        <is>
          <t>VÄSTRA GÖTALANDS LÄN</t>
        </is>
      </c>
      <c r="E2087" t="inlineStr">
        <is>
          <t>BORÅS</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61821-2021</t>
        </is>
      </c>
      <c r="B2088" s="1" t="n">
        <v>44501.78783564815</v>
      </c>
      <c r="C2088" s="1" t="n">
        <v>46011</v>
      </c>
      <c r="D2088" t="inlineStr">
        <is>
          <t>VÄSTRA GÖTALANDS LÄN</t>
        </is>
      </c>
      <c r="E2088" t="inlineStr">
        <is>
          <t>BENGTSFORS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51876-2021</t>
        </is>
      </c>
      <c r="B2089" s="1" t="n">
        <v>44462.73945601852</v>
      </c>
      <c r="C2089" s="1" t="n">
        <v>46011</v>
      </c>
      <c r="D2089" t="inlineStr">
        <is>
          <t>VÄSTRA GÖTALANDS LÄN</t>
        </is>
      </c>
      <c r="E2089" t="inlineStr">
        <is>
          <t>UDDEVALLA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45555-2022</t>
        </is>
      </c>
      <c r="B2090" s="1" t="n">
        <v>44845</v>
      </c>
      <c r="C2090" s="1" t="n">
        <v>46011</v>
      </c>
      <c r="D2090" t="inlineStr">
        <is>
          <t>VÄSTRA GÖTALANDS LÄN</t>
        </is>
      </c>
      <c r="E2090" t="inlineStr">
        <is>
          <t>BORÅS</t>
        </is>
      </c>
      <c r="G2090" t="n">
        <v>11.3</v>
      </c>
      <c r="H2090" t="n">
        <v>0</v>
      </c>
      <c r="I2090" t="n">
        <v>0</v>
      </c>
      <c r="J2090" t="n">
        <v>0</v>
      </c>
      <c r="K2090" t="n">
        <v>0</v>
      </c>
      <c r="L2090" t="n">
        <v>0</v>
      </c>
      <c r="M2090" t="n">
        <v>0</v>
      </c>
      <c r="N2090" t="n">
        <v>0</v>
      </c>
      <c r="O2090" t="n">
        <v>0</v>
      </c>
      <c r="P2090" t="n">
        <v>0</v>
      </c>
      <c r="Q2090" t="n">
        <v>0</v>
      </c>
      <c r="R2090" s="2" t="inlineStr"/>
    </row>
    <row r="2091" ht="15" customHeight="1">
      <c r="A2091" t="inlineStr">
        <is>
          <t>A 28508-2022</t>
        </is>
      </c>
      <c r="B2091" s="1" t="n">
        <v>44748.33660879629</v>
      </c>
      <c r="C2091" s="1" t="n">
        <v>46011</v>
      </c>
      <c r="D2091" t="inlineStr">
        <is>
          <t>VÄSTRA GÖTALANDS LÄN</t>
        </is>
      </c>
      <c r="E2091" t="inlineStr">
        <is>
          <t>SKÖVDE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28510-2022</t>
        </is>
      </c>
      <c r="B2092" s="1" t="n">
        <v>44748.34445601852</v>
      </c>
      <c r="C2092" s="1" t="n">
        <v>46011</v>
      </c>
      <c r="D2092" t="inlineStr">
        <is>
          <t>VÄSTRA GÖTALANDS LÄN</t>
        </is>
      </c>
      <c r="E2092" t="inlineStr">
        <is>
          <t>SKÖVDE</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28512-2022</t>
        </is>
      </c>
      <c r="B2093" s="1" t="n">
        <v>44748.35234953704</v>
      </c>
      <c r="C2093" s="1" t="n">
        <v>46011</v>
      </c>
      <c r="D2093" t="inlineStr">
        <is>
          <t>VÄSTRA GÖTALANDS LÄN</t>
        </is>
      </c>
      <c r="E2093" t="inlineStr">
        <is>
          <t>HJO</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65210-2021</t>
        </is>
      </c>
      <c r="B2094" s="1" t="n">
        <v>44515</v>
      </c>
      <c r="C2094" s="1" t="n">
        <v>46011</v>
      </c>
      <c r="D2094" t="inlineStr">
        <is>
          <t>VÄSTRA GÖTALANDS LÄN</t>
        </is>
      </c>
      <c r="E2094" t="inlineStr">
        <is>
          <t>ALINGSÅS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65222-2021</t>
        </is>
      </c>
      <c r="B2095" s="1" t="n">
        <v>44515</v>
      </c>
      <c r="C2095" s="1" t="n">
        <v>46011</v>
      </c>
      <c r="D2095" t="inlineStr">
        <is>
          <t>VÄSTRA GÖTALANDS LÄN</t>
        </is>
      </c>
      <c r="E2095" t="inlineStr">
        <is>
          <t>ALE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47133-2022</t>
        </is>
      </c>
      <c r="B2096" s="1" t="n">
        <v>44852.55070601852</v>
      </c>
      <c r="C2096" s="1" t="n">
        <v>46011</v>
      </c>
      <c r="D2096" t="inlineStr">
        <is>
          <t>VÄSTRA GÖTALANDS LÄN</t>
        </is>
      </c>
      <c r="E2096" t="inlineStr">
        <is>
          <t>ULRICEHAMN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22265-2021</t>
        </is>
      </c>
      <c r="B2097" s="1" t="n">
        <v>44326.42354166666</v>
      </c>
      <c r="C2097" s="1" t="n">
        <v>46011</v>
      </c>
      <c r="D2097" t="inlineStr">
        <is>
          <t>VÄSTRA GÖTALANDS LÄN</t>
        </is>
      </c>
      <c r="E2097" t="inlineStr">
        <is>
          <t>TÖREBODA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22138-2021</t>
        </is>
      </c>
      <c r="B2098" s="1" t="n">
        <v>44324.67472222223</v>
      </c>
      <c r="C2098" s="1" t="n">
        <v>46011</v>
      </c>
      <c r="D2098" t="inlineStr">
        <is>
          <t>VÄSTRA GÖTALANDS LÄN</t>
        </is>
      </c>
      <c r="E2098" t="inlineStr">
        <is>
          <t>ALE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22161-2021</t>
        </is>
      </c>
      <c r="B2099" s="1" t="n">
        <v>44325</v>
      </c>
      <c r="C2099" s="1" t="n">
        <v>46011</v>
      </c>
      <c r="D2099" t="inlineStr">
        <is>
          <t>VÄSTRA GÖTALANDS LÄN</t>
        </is>
      </c>
      <c r="E2099" t="inlineStr">
        <is>
          <t>BORÅS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33996-2021</t>
        </is>
      </c>
      <c r="B2100" s="1" t="n">
        <v>44379</v>
      </c>
      <c r="C2100" s="1" t="n">
        <v>46011</v>
      </c>
      <c r="D2100" t="inlineStr">
        <is>
          <t>VÄSTRA GÖTALANDS LÄN</t>
        </is>
      </c>
      <c r="E2100" t="inlineStr">
        <is>
          <t>ESSUNGA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33938-2021</t>
        </is>
      </c>
      <c r="B2101" s="1" t="n">
        <v>44378</v>
      </c>
      <c r="C2101" s="1" t="n">
        <v>46011</v>
      </c>
      <c r="D2101" t="inlineStr">
        <is>
          <t>VÄSTRA GÖTALANDS LÄN</t>
        </is>
      </c>
      <c r="E2101" t="inlineStr">
        <is>
          <t>SKARA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25901-2021</t>
        </is>
      </c>
      <c r="B2102" s="1" t="n">
        <v>44344</v>
      </c>
      <c r="C2102" s="1" t="n">
        <v>46011</v>
      </c>
      <c r="D2102" t="inlineStr">
        <is>
          <t>VÄSTRA GÖTALANDS LÄN</t>
        </is>
      </c>
      <c r="E2102" t="inlineStr">
        <is>
          <t>UDDEVALLA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17046-2021</t>
        </is>
      </c>
      <c r="B2103" s="1" t="n">
        <v>44295.87994212963</v>
      </c>
      <c r="C2103" s="1" t="n">
        <v>46011</v>
      </c>
      <c r="D2103" t="inlineStr">
        <is>
          <t>VÄSTRA GÖTALANDS LÄN</t>
        </is>
      </c>
      <c r="E2103" t="inlineStr">
        <is>
          <t>ULRICEHAMN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25751-2021</t>
        </is>
      </c>
      <c r="B2104" s="1" t="n">
        <v>44343</v>
      </c>
      <c r="C2104" s="1" t="n">
        <v>46011</v>
      </c>
      <c r="D2104" t="inlineStr">
        <is>
          <t>VÄSTRA GÖTALANDS LÄN</t>
        </is>
      </c>
      <c r="E2104" t="inlineStr">
        <is>
          <t>MELLERUD</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34213-2022</t>
        </is>
      </c>
      <c r="B2105" s="1" t="n">
        <v>44791.66712962963</v>
      </c>
      <c r="C2105" s="1" t="n">
        <v>46011</v>
      </c>
      <c r="D2105" t="inlineStr">
        <is>
          <t>VÄSTRA GÖTALANDS LÄN</t>
        </is>
      </c>
      <c r="E2105" t="inlineStr">
        <is>
          <t>TANUM</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14733-2022</t>
        </is>
      </c>
      <c r="B2106" s="1" t="n">
        <v>44656.369375</v>
      </c>
      <c r="C2106" s="1" t="n">
        <v>46011</v>
      </c>
      <c r="D2106" t="inlineStr">
        <is>
          <t>VÄSTRA GÖTALANDS LÄN</t>
        </is>
      </c>
      <c r="E2106" t="inlineStr">
        <is>
          <t>ULRICEHAMN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58495-2021</t>
        </is>
      </c>
      <c r="B2107" s="1" t="n">
        <v>44488.62511574074</v>
      </c>
      <c r="C2107" s="1" t="n">
        <v>46011</v>
      </c>
      <c r="D2107" t="inlineStr">
        <is>
          <t>VÄSTRA GÖTALANDS LÄN</t>
        </is>
      </c>
      <c r="E2107" t="inlineStr">
        <is>
          <t>HJO</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25886-2022</t>
        </is>
      </c>
      <c r="B2108" s="1" t="n">
        <v>44733</v>
      </c>
      <c r="C2108" s="1" t="n">
        <v>46011</v>
      </c>
      <c r="D2108" t="inlineStr">
        <is>
          <t>VÄSTRA GÖTALANDS LÄN</t>
        </is>
      </c>
      <c r="E2108" t="inlineStr">
        <is>
          <t>MARK</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30322-2022</t>
        </is>
      </c>
      <c r="B2109" s="1" t="n">
        <v>44760.44488425926</v>
      </c>
      <c r="C2109" s="1" t="n">
        <v>46011</v>
      </c>
      <c r="D2109" t="inlineStr">
        <is>
          <t>VÄSTRA GÖTALANDS LÄN</t>
        </is>
      </c>
      <c r="E2109" t="inlineStr">
        <is>
          <t>KUNGÄLV</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35841-2022</t>
        </is>
      </c>
      <c r="B2110" s="1" t="n">
        <v>44802</v>
      </c>
      <c r="C2110" s="1" t="n">
        <v>46011</v>
      </c>
      <c r="D2110" t="inlineStr">
        <is>
          <t>VÄSTRA GÖTALANDS LÄN</t>
        </is>
      </c>
      <c r="E2110" t="inlineStr">
        <is>
          <t>TANUM</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10665-2022</t>
        </is>
      </c>
      <c r="B2111" s="1" t="n">
        <v>44624</v>
      </c>
      <c r="C2111" s="1" t="n">
        <v>46011</v>
      </c>
      <c r="D2111" t="inlineStr">
        <is>
          <t>VÄSTRA GÖTALANDS LÄN</t>
        </is>
      </c>
      <c r="E2111" t="inlineStr">
        <is>
          <t>BORÅS</t>
        </is>
      </c>
      <c r="F2111" t="inlineStr">
        <is>
          <t>Kyrkan</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35929-2022</t>
        </is>
      </c>
      <c r="B2112" s="1" t="n">
        <v>44802.52940972222</v>
      </c>
      <c r="C2112" s="1" t="n">
        <v>46011</v>
      </c>
      <c r="D2112" t="inlineStr">
        <is>
          <t>VÄSTRA GÖTALANDS LÄN</t>
        </is>
      </c>
      <c r="E2112" t="inlineStr">
        <is>
          <t>TANUM</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39093-2021</t>
        </is>
      </c>
      <c r="B2113" s="1" t="n">
        <v>44412</v>
      </c>
      <c r="C2113" s="1" t="n">
        <v>46011</v>
      </c>
      <c r="D2113" t="inlineStr">
        <is>
          <t>VÄSTRA GÖTALANDS LÄN</t>
        </is>
      </c>
      <c r="E2113" t="inlineStr">
        <is>
          <t>DALS-ED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39112-2021</t>
        </is>
      </c>
      <c r="B2114" s="1" t="n">
        <v>44412</v>
      </c>
      <c r="C2114" s="1" t="n">
        <v>46011</v>
      </c>
      <c r="D2114" t="inlineStr">
        <is>
          <t>VÄSTRA GÖTALANDS LÄN</t>
        </is>
      </c>
      <c r="E2114" t="inlineStr">
        <is>
          <t>MUNKEDAL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30889-2021</t>
        </is>
      </c>
      <c r="B2115" s="1" t="n">
        <v>44365</v>
      </c>
      <c r="C2115" s="1" t="n">
        <v>46011</v>
      </c>
      <c r="D2115" t="inlineStr">
        <is>
          <t>VÄSTRA GÖTALANDS LÄN</t>
        </is>
      </c>
      <c r="E2115" t="inlineStr">
        <is>
          <t>FÄRGELANDA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31584-2022</t>
        </is>
      </c>
      <c r="B2116" s="1" t="n">
        <v>44775</v>
      </c>
      <c r="C2116" s="1" t="n">
        <v>46011</v>
      </c>
      <c r="D2116" t="inlineStr">
        <is>
          <t>VÄSTRA GÖTALANDS LÄN</t>
        </is>
      </c>
      <c r="E2116" t="inlineStr">
        <is>
          <t>TRANEMO</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19950-2021</t>
        </is>
      </c>
      <c r="B2117" s="1" t="n">
        <v>44313.62149305556</v>
      </c>
      <c r="C2117" s="1" t="n">
        <v>46011</v>
      </c>
      <c r="D2117" t="inlineStr">
        <is>
          <t>VÄSTRA GÖTALANDS LÄN</t>
        </is>
      </c>
      <c r="E2117" t="inlineStr">
        <is>
          <t>ULRICEHAMN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25313-2022</t>
        </is>
      </c>
      <c r="B2118" s="1" t="n">
        <v>44731.56203703704</v>
      </c>
      <c r="C2118" s="1" t="n">
        <v>46011</v>
      </c>
      <c r="D2118" t="inlineStr">
        <is>
          <t>VÄSTRA GÖTALANDS LÄN</t>
        </is>
      </c>
      <c r="E2118" t="inlineStr">
        <is>
          <t>TANUM</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2296-2022</t>
        </is>
      </c>
      <c r="B2119" s="1" t="n">
        <v>44578.69895833333</v>
      </c>
      <c r="C2119" s="1" t="n">
        <v>46011</v>
      </c>
      <c r="D2119" t="inlineStr">
        <is>
          <t>VÄSTRA GÖTALANDS LÄN</t>
        </is>
      </c>
      <c r="E2119" t="inlineStr">
        <is>
          <t>BENGTSFORS</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44061-2022</t>
        </is>
      </c>
      <c r="B2120" s="1" t="n">
        <v>44839.31863425926</v>
      </c>
      <c r="C2120" s="1" t="n">
        <v>46011</v>
      </c>
      <c r="D2120" t="inlineStr">
        <is>
          <t>VÄSTRA GÖTALANDS LÄN</t>
        </is>
      </c>
      <c r="E2120" t="inlineStr">
        <is>
          <t>ÅMÅL</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25673-2022</t>
        </is>
      </c>
      <c r="B2121" s="1" t="n">
        <v>44733.28400462963</v>
      </c>
      <c r="C2121" s="1" t="n">
        <v>46011</v>
      </c>
      <c r="D2121" t="inlineStr">
        <is>
          <t>VÄSTRA GÖTALANDS LÄN</t>
        </is>
      </c>
      <c r="E2121" t="inlineStr">
        <is>
          <t>ULRICEHAMN</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73256-2021</t>
        </is>
      </c>
      <c r="B2122" s="1" t="n">
        <v>44550.78354166666</v>
      </c>
      <c r="C2122" s="1" t="n">
        <v>46011</v>
      </c>
      <c r="D2122" t="inlineStr">
        <is>
          <t>VÄSTRA GÖTALANDS LÄN</t>
        </is>
      </c>
      <c r="E2122" t="inlineStr">
        <is>
          <t>FÄRGELANDA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63596-2021</t>
        </is>
      </c>
      <c r="B2123" s="1" t="n">
        <v>44508</v>
      </c>
      <c r="C2123" s="1" t="n">
        <v>46011</v>
      </c>
      <c r="D2123" t="inlineStr">
        <is>
          <t>VÄSTRA GÖTALANDS LÄN</t>
        </is>
      </c>
      <c r="E2123" t="inlineStr">
        <is>
          <t>HÄRRYDA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47383-2022</t>
        </is>
      </c>
      <c r="B2124" s="1" t="n">
        <v>44853</v>
      </c>
      <c r="C2124" s="1" t="n">
        <v>46011</v>
      </c>
      <c r="D2124" t="inlineStr">
        <is>
          <t>VÄSTRA GÖTALANDS LÄN</t>
        </is>
      </c>
      <c r="E2124" t="inlineStr">
        <is>
          <t>BENGTSFORS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15025-2022</t>
        </is>
      </c>
      <c r="B2125" s="1" t="n">
        <v>44657</v>
      </c>
      <c r="C2125" s="1" t="n">
        <v>46011</v>
      </c>
      <c r="D2125" t="inlineStr">
        <is>
          <t>VÄSTRA GÖTALANDS LÄN</t>
        </is>
      </c>
      <c r="E2125" t="inlineStr">
        <is>
          <t>MELLERUD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24216-2022</t>
        </is>
      </c>
      <c r="B2126" s="1" t="n">
        <v>44725</v>
      </c>
      <c r="C2126" s="1" t="n">
        <v>46011</v>
      </c>
      <c r="D2126" t="inlineStr">
        <is>
          <t>VÄSTRA GÖTALANDS LÄN</t>
        </is>
      </c>
      <c r="E2126" t="inlineStr">
        <is>
          <t>MARK</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42169-2022</t>
        </is>
      </c>
      <c r="B2127" s="1" t="n">
        <v>44830.62017361111</v>
      </c>
      <c r="C2127" s="1" t="n">
        <v>46011</v>
      </c>
      <c r="D2127" t="inlineStr">
        <is>
          <t>VÄSTRA GÖTALANDS LÄN</t>
        </is>
      </c>
      <c r="E2127" t="inlineStr">
        <is>
          <t>GRÄSTORP</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8278-2022</t>
        </is>
      </c>
      <c r="B2128" s="1" t="n">
        <v>44610</v>
      </c>
      <c r="C2128" s="1" t="n">
        <v>46011</v>
      </c>
      <c r="D2128" t="inlineStr">
        <is>
          <t>VÄSTRA GÖTALANDS LÄN</t>
        </is>
      </c>
      <c r="E2128" t="inlineStr">
        <is>
          <t>SVENLJUNGA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36359-2022</t>
        </is>
      </c>
      <c r="B2129" s="1" t="n">
        <v>44803.87314814814</v>
      </c>
      <c r="C2129" s="1" t="n">
        <v>46011</v>
      </c>
      <c r="D2129" t="inlineStr">
        <is>
          <t>VÄSTRA GÖTALANDS LÄN</t>
        </is>
      </c>
      <c r="E2129" t="inlineStr">
        <is>
          <t>LILLA EDET</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38843-2021</t>
        </is>
      </c>
      <c r="B2130" s="1" t="n">
        <v>44411</v>
      </c>
      <c r="C2130" s="1" t="n">
        <v>46011</v>
      </c>
      <c r="D2130" t="inlineStr">
        <is>
          <t>VÄSTRA GÖTALANDS LÄN</t>
        </is>
      </c>
      <c r="E2130" t="inlineStr">
        <is>
          <t>MARK</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69670-2021</t>
        </is>
      </c>
      <c r="B2131" s="1" t="n">
        <v>44532.45248842592</v>
      </c>
      <c r="C2131" s="1" t="n">
        <v>46011</v>
      </c>
      <c r="D2131" t="inlineStr">
        <is>
          <t>VÄSTRA GÖTALANDS LÄN</t>
        </is>
      </c>
      <c r="E2131" t="inlineStr">
        <is>
          <t>ULRICEHAMN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24913-2021</t>
        </is>
      </c>
      <c r="B2132" s="1" t="n">
        <v>44341</v>
      </c>
      <c r="C2132" s="1" t="n">
        <v>46011</v>
      </c>
      <c r="D2132" t="inlineStr">
        <is>
          <t>VÄSTRA GÖTALANDS LÄN</t>
        </is>
      </c>
      <c r="E2132" t="inlineStr">
        <is>
          <t>LIDKÖPING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47598-2021</t>
        </is>
      </c>
      <c r="B2133" s="1" t="n">
        <v>44448.32766203704</v>
      </c>
      <c r="C2133" s="1" t="n">
        <v>46011</v>
      </c>
      <c r="D2133" t="inlineStr">
        <is>
          <t>VÄSTRA GÖTALANDS LÄN</t>
        </is>
      </c>
      <c r="E2133" t="inlineStr">
        <is>
          <t>ULRICEHAMN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8091-2022</t>
        </is>
      </c>
      <c r="B2134" s="1" t="n">
        <v>44609.53788194444</v>
      </c>
      <c r="C2134" s="1" t="n">
        <v>46011</v>
      </c>
      <c r="D2134" t="inlineStr">
        <is>
          <t>VÄSTRA GÖTALANDS LÄN</t>
        </is>
      </c>
      <c r="E2134" t="inlineStr">
        <is>
          <t>MARK</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8093-2022</t>
        </is>
      </c>
      <c r="B2135" s="1" t="n">
        <v>44609</v>
      </c>
      <c r="C2135" s="1" t="n">
        <v>46011</v>
      </c>
      <c r="D2135" t="inlineStr">
        <is>
          <t>VÄSTRA GÖTALANDS LÄN</t>
        </is>
      </c>
      <c r="E2135" t="inlineStr">
        <is>
          <t>MARK</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68194-2021</t>
        </is>
      </c>
      <c r="B2136" s="1" t="n">
        <v>44526.51045138889</v>
      </c>
      <c r="C2136" s="1" t="n">
        <v>46011</v>
      </c>
      <c r="D2136" t="inlineStr">
        <is>
          <t>VÄSTRA GÖTALANDS LÄN</t>
        </is>
      </c>
      <c r="E2136" t="inlineStr">
        <is>
          <t>ÅMÅL</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68214-2021</t>
        </is>
      </c>
      <c r="B2137" s="1" t="n">
        <v>44525</v>
      </c>
      <c r="C2137" s="1" t="n">
        <v>46011</v>
      </c>
      <c r="D2137" t="inlineStr">
        <is>
          <t>VÄSTRA GÖTALANDS LÄN</t>
        </is>
      </c>
      <c r="E2137" t="inlineStr">
        <is>
          <t>TANUM</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51431-2022</t>
        </is>
      </c>
      <c r="B2138" s="1" t="n">
        <v>44866</v>
      </c>
      <c r="C2138" s="1" t="n">
        <v>46011</v>
      </c>
      <c r="D2138" t="inlineStr">
        <is>
          <t>VÄSTRA GÖTALANDS LÄN</t>
        </is>
      </c>
      <c r="E2138" t="inlineStr">
        <is>
          <t>MUNKEDAL</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51535-2022</t>
        </is>
      </c>
      <c r="B2139" s="1" t="n">
        <v>44869.83858796296</v>
      </c>
      <c r="C2139" s="1" t="n">
        <v>46011</v>
      </c>
      <c r="D2139" t="inlineStr">
        <is>
          <t>VÄSTRA GÖTALANDS LÄN</t>
        </is>
      </c>
      <c r="E2139" t="inlineStr">
        <is>
          <t>TIDAHOLM</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60657-2021</t>
        </is>
      </c>
      <c r="B2140" s="1" t="n">
        <v>44496</v>
      </c>
      <c r="C2140" s="1" t="n">
        <v>46011</v>
      </c>
      <c r="D2140" t="inlineStr">
        <is>
          <t>VÄSTRA GÖTALANDS LÄN</t>
        </is>
      </c>
      <c r="E2140" t="inlineStr">
        <is>
          <t>ALINGSÅS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51197-2022</t>
        </is>
      </c>
      <c r="B2141" s="1" t="n">
        <v>44868.60407407407</v>
      </c>
      <c r="C2141" s="1" t="n">
        <v>46011</v>
      </c>
      <c r="D2141" t="inlineStr">
        <is>
          <t>VÄSTRA GÖTALANDS LÄN</t>
        </is>
      </c>
      <c r="E2141" t="inlineStr">
        <is>
          <t>HERRLJUNGA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70426-2021</t>
        </is>
      </c>
      <c r="B2142" s="1" t="n">
        <v>44536.6102662037</v>
      </c>
      <c r="C2142" s="1" t="n">
        <v>46011</v>
      </c>
      <c r="D2142" t="inlineStr">
        <is>
          <t>VÄSTRA GÖTALANDS LÄN</t>
        </is>
      </c>
      <c r="E2142" t="inlineStr">
        <is>
          <t>ALINGSÅS</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68293-2021</t>
        </is>
      </c>
      <c r="B2143" s="1" t="n">
        <v>44526.74181712963</v>
      </c>
      <c r="C2143" s="1" t="n">
        <v>46011</v>
      </c>
      <c r="D2143" t="inlineStr">
        <is>
          <t>VÄSTRA GÖTALANDS LÄN</t>
        </is>
      </c>
      <c r="E2143" t="inlineStr">
        <is>
          <t>TIDAHOLM</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2597-2022</t>
        </is>
      </c>
      <c r="B2144" s="1" t="n">
        <v>44580</v>
      </c>
      <c r="C2144" s="1" t="n">
        <v>46011</v>
      </c>
      <c r="D2144" t="inlineStr">
        <is>
          <t>VÄSTRA GÖTALANDS LÄN</t>
        </is>
      </c>
      <c r="E2144" t="inlineStr">
        <is>
          <t>VÅRGÅRDA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2616-2022</t>
        </is>
      </c>
      <c r="B2145" s="1" t="n">
        <v>44580</v>
      </c>
      <c r="C2145" s="1" t="n">
        <v>46011</v>
      </c>
      <c r="D2145" t="inlineStr">
        <is>
          <t>VÄSTRA GÖTALANDS LÄN</t>
        </is>
      </c>
      <c r="E2145" t="inlineStr">
        <is>
          <t>MARK</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2984-2022</t>
        </is>
      </c>
      <c r="B2146" s="1" t="n">
        <v>44581.79246527778</v>
      </c>
      <c r="C2146" s="1" t="n">
        <v>46011</v>
      </c>
      <c r="D2146" t="inlineStr">
        <is>
          <t>VÄSTRA GÖTALANDS LÄN</t>
        </is>
      </c>
      <c r="E2146" t="inlineStr">
        <is>
          <t>GÖTENE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69625-2020</t>
        </is>
      </c>
      <c r="B2147" s="1" t="n">
        <v>44195</v>
      </c>
      <c r="C2147" s="1" t="n">
        <v>46011</v>
      </c>
      <c r="D2147" t="inlineStr">
        <is>
          <t>VÄSTRA GÖTALANDS LÄN</t>
        </is>
      </c>
      <c r="E2147" t="inlineStr">
        <is>
          <t>ULRICEHAMN</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1584-2022</t>
        </is>
      </c>
      <c r="B2148" s="1" t="n">
        <v>44573.65699074074</v>
      </c>
      <c r="C2148" s="1" t="n">
        <v>46011</v>
      </c>
      <c r="D2148" t="inlineStr">
        <is>
          <t>VÄSTRA GÖTALANDS LÄN</t>
        </is>
      </c>
      <c r="E2148" t="inlineStr">
        <is>
          <t>BENGTSFORS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45328-2021</t>
        </is>
      </c>
      <c r="B2149" s="1" t="n">
        <v>44439</v>
      </c>
      <c r="C2149" s="1" t="n">
        <v>46011</v>
      </c>
      <c r="D2149" t="inlineStr">
        <is>
          <t>VÄSTRA GÖTALANDS LÄN</t>
        </is>
      </c>
      <c r="E2149" t="inlineStr">
        <is>
          <t>ALINGSÅS</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5598-2022</t>
        </is>
      </c>
      <c r="B2150" s="1" t="n">
        <v>44595</v>
      </c>
      <c r="C2150" s="1" t="n">
        <v>46011</v>
      </c>
      <c r="D2150" t="inlineStr">
        <is>
          <t>VÄSTRA GÖTALANDS LÄN</t>
        </is>
      </c>
      <c r="E2150" t="inlineStr">
        <is>
          <t>SKARA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5600-2022</t>
        </is>
      </c>
      <c r="B2151" s="1" t="n">
        <v>44595</v>
      </c>
      <c r="C2151" s="1" t="n">
        <v>46011</v>
      </c>
      <c r="D2151" t="inlineStr">
        <is>
          <t>VÄSTRA GÖTALANDS LÄN</t>
        </is>
      </c>
      <c r="E2151" t="inlineStr">
        <is>
          <t>SKARA</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5284-2022</t>
        </is>
      </c>
      <c r="B2152" s="1" t="n">
        <v>44594.60802083334</v>
      </c>
      <c r="C2152" s="1" t="n">
        <v>46011</v>
      </c>
      <c r="D2152" t="inlineStr">
        <is>
          <t>VÄSTRA GÖTALANDS LÄN</t>
        </is>
      </c>
      <c r="E2152" t="inlineStr">
        <is>
          <t>ULRICEHAMN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9796-2022</t>
        </is>
      </c>
      <c r="B2153" s="1" t="n">
        <v>44620.36696759259</v>
      </c>
      <c r="C2153" s="1" t="n">
        <v>46011</v>
      </c>
      <c r="D2153" t="inlineStr">
        <is>
          <t>VÄSTRA GÖTALANDS LÄN</t>
        </is>
      </c>
      <c r="E2153" t="inlineStr">
        <is>
          <t>MELLERUD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9165-2022</t>
        </is>
      </c>
      <c r="B2154" s="1" t="n">
        <v>44615.66289351852</v>
      </c>
      <c r="C2154" s="1" t="n">
        <v>46011</v>
      </c>
      <c r="D2154" t="inlineStr">
        <is>
          <t>VÄSTRA GÖTALANDS LÄN</t>
        </is>
      </c>
      <c r="E2154" t="inlineStr">
        <is>
          <t>HÄRRYDA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7309-2021</t>
        </is>
      </c>
      <c r="B2155" s="1" t="n">
        <v>44238</v>
      </c>
      <c r="C2155" s="1" t="n">
        <v>46011</v>
      </c>
      <c r="D2155" t="inlineStr">
        <is>
          <t>VÄSTRA GÖTALANDS LÄN</t>
        </is>
      </c>
      <c r="E2155" t="inlineStr">
        <is>
          <t>MARK</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60804-2021</t>
        </is>
      </c>
      <c r="B2156" s="1" t="n">
        <v>44497.29916666666</v>
      </c>
      <c r="C2156" s="1" t="n">
        <v>46011</v>
      </c>
      <c r="D2156" t="inlineStr">
        <is>
          <t>VÄSTRA GÖTALANDS LÄN</t>
        </is>
      </c>
      <c r="E2156" t="inlineStr">
        <is>
          <t>MARK</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44577-2022</t>
        </is>
      </c>
      <c r="B2157" s="1" t="n">
        <v>44840.4956712963</v>
      </c>
      <c r="C2157" s="1" t="n">
        <v>46011</v>
      </c>
      <c r="D2157" t="inlineStr">
        <is>
          <t>VÄSTRA GÖTALANDS LÄN</t>
        </is>
      </c>
      <c r="E2157" t="inlineStr">
        <is>
          <t>MARK</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43749-2021</t>
        </is>
      </c>
      <c r="B2158" s="1" t="n">
        <v>44433</v>
      </c>
      <c r="C2158" s="1" t="n">
        <v>46011</v>
      </c>
      <c r="D2158" t="inlineStr">
        <is>
          <t>VÄSTRA GÖTALANDS LÄN</t>
        </is>
      </c>
      <c r="E2158" t="inlineStr">
        <is>
          <t>GULLSPÅNG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53565-2022</t>
        </is>
      </c>
      <c r="B2159" s="1" t="n">
        <v>44879.65046296296</v>
      </c>
      <c r="C2159" s="1" t="n">
        <v>46011</v>
      </c>
      <c r="D2159" t="inlineStr">
        <is>
          <t>VÄSTRA GÖTALANDS LÄN</t>
        </is>
      </c>
      <c r="E2159" t="inlineStr">
        <is>
          <t>MELLERUD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44530-2022</t>
        </is>
      </c>
      <c r="B2160" s="1" t="n">
        <v>44840.44130787037</v>
      </c>
      <c r="C2160" s="1" t="n">
        <v>46011</v>
      </c>
      <c r="D2160" t="inlineStr">
        <is>
          <t>VÄSTRA GÖTALANDS LÄN</t>
        </is>
      </c>
      <c r="E2160" t="inlineStr">
        <is>
          <t>MELLERUD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37377-2021</t>
        </is>
      </c>
      <c r="B2161" s="1" t="n">
        <v>44398.26491898148</v>
      </c>
      <c r="C2161" s="1" t="n">
        <v>46011</v>
      </c>
      <c r="D2161" t="inlineStr">
        <is>
          <t>VÄSTRA GÖTALANDS LÄN</t>
        </is>
      </c>
      <c r="E2161" t="inlineStr">
        <is>
          <t>ESSUNGA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15138-2022</t>
        </is>
      </c>
      <c r="B2162" s="1" t="n">
        <v>44658.44114583333</v>
      </c>
      <c r="C2162" s="1" t="n">
        <v>46011</v>
      </c>
      <c r="D2162" t="inlineStr">
        <is>
          <t>VÄSTRA GÖTALANDS LÄN</t>
        </is>
      </c>
      <c r="E2162" t="inlineStr">
        <is>
          <t>LERUM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10043-2022</t>
        </is>
      </c>
      <c r="B2163" s="1" t="n">
        <v>44621.57050925926</v>
      </c>
      <c r="C2163" s="1" t="n">
        <v>46011</v>
      </c>
      <c r="D2163" t="inlineStr">
        <is>
          <t>VÄSTRA GÖTALANDS LÄN</t>
        </is>
      </c>
      <c r="E2163" t="inlineStr">
        <is>
          <t>TANUM</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72690-2021</t>
        </is>
      </c>
      <c r="B2164" s="1" t="n">
        <v>44546.65739583333</v>
      </c>
      <c r="C2164" s="1" t="n">
        <v>46011</v>
      </c>
      <c r="D2164" t="inlineStr">
        <is>
          <t>VÄSTRA GÖTALANDS LÄN</t>
        </is>
      </c>
      <c r="E2164" t="inlineStr">
        <is>
          <t>TIDAHOLM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47140-2022</t>
        </is>
      </c>
      <c r="B2165" s="1" t="n">
        <v>44852</v>
      </c>
      <c r="C2165" s="1" t="n">
        <v>46011</v>
      </c>
      <c r="D2165" t="inlineStr">
        <is>
          <t>VÄSTRA GÖTALANDS LÄN</t>
        </is>
      </c>
      <c r="E2165" t="inlineStr">
        <is>
          <t>BENGTSFORS</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3488-2022</t>
        </is>
      </c>
      <c r="B2166" s="1" t="n">
        <v>44585</v>
      </c>
      <c r="C2166" s="1" t="n">
        <v>46011</v>
      </c>
      <c r="D2166" t="inlineStr">
        <is>
          <t>VÄSTRA GÖTALANDS LÄN</t>
        </is>
      </c>
      <c r="E2166" t="inlineStr">
        <is>
          <t>SKÖVDE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3673-2022</t>
        </is>
      </c>
      <c r="B2167" s="1" t="n">
        <v>44586.54415509259</v>
      </c>
      <c r="C2167" s="1" t="n">
        <v>46011</v>
      </c>
      <c r="D2167" t="inlineStr">
        <is>
          <t>VÄSTRA GÖTALANDS LÄN</t>
        </is>
      </c>
      <c r="E2167" t="inlineStr">
        <is>
          <t>MÖLNDAL</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32520-2021</t>
        </is>
      </c>
      <c r="B2168" s="1" t="n">
        <v>44374.78251157407</v>
      </c>
      <c r="C2168" s="1" t="n">
        <v>46011</v>
      </c>
      <c r="D2168" t="inlineStr">
        <is>
          <t>VÄSTRA GÖTALANDS LÄN</t>
        </is>
      </c>
      <c r="E2168" t="inlineStr">
        <is>
          <t>ÅMÅL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29560-2022</t>
        </is>
      </c>
      <c r="B2169" s="1" t="n">
        <v>44754.35616898148</v>
      </c>
      <c r="C2169" s="1" t="n">
        <v>46011</v>
      </c>
      <c r="D2169" t="inlineStr">
        <is>
          <t>VÄSTRA GÖTALANDS LÄN</t>
        </is>
      </c>
      <c r="E2169" t="inlineStr">
        <is>
          <t>TÖREBODA</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44445-2021</t>
        </is>
      </c>
      <c r="B2170" s="1" t="n">
        <v>44435</v>
      </c>
      <c r="C2170" s="1" t="n">
        <v>46011</v>
      </c>
      <c r="D2170" t="inlineStr">
        <is>
          <t>VÄSTRA GÖTALANDS LÄN</t>
        </is>
      </c>
      <c r="E2170" t="inlineStr">
        <is>
          <t>MARK</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44466-2021</t>
        </is>
      </c>
      <c r="B2171" s="1" t="n">
        <v>44435</v>
      </c>
      <c r="C2171" s="1" t="n">
        <v>46011</v>
      </c>
      <c r="D2171" t="inlineStr">
        <is>
          <t>VÄSTRA GÖTALANDS LÄN</t>
        </is>
      </c>
      <c r="E2171" t="inlineStr">
        <is>
          <t>LYSEKIL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68882-2021</t>
        </is>
      </c>
      <c r="B2172" s="1" t="n">
        <v>44530.44055555556</v>
      </c>
      <c r="C2172" s="1" t="n">
        <v>46011</v>
      </c>
      <c r="D2172" t="inlineStr">
        <is>
          <t>VÄSTRA GÖTALANDS LÄN</t>
        </is>
      </c>
      <c r="E2172" t="inlineStr">
        <is>
          <t>BOLLEBYGD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44687-2021</t>
        </is>
      </c>
      <c r="B2173" s="1" t="n">
        <v>44438</v>
      </c>
      <c r="C2173" s="1" t="n">
        <v>46011</v>
      </c>
      <c r="D2173" t="inlineStr">
        <is>
          <t>VÄSTRA GÖTALANDS LÄN</t>
        </is>
      </c>
      <c r="E2173" t="inlineStr">
        <is>
          <t>TANUM</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8659-2021</t>
        </is>
      </c>
      <c r="B2174" s="1" t="n">
        <v>44246</v>
      </c>
      <c r="C2174" s="1" t="n">
        <v>46011</v>
      </c>
      <c r="D2174" t="inlineStr">
        <is>
          <t>VÄSTRA GÖTALANDS LÄN</t>
        </is>
      </c>
      <c r="E2174" t="inlineStr">
        <is>
          <t>HERRLJUNGA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8663-2021</t>
        </is>
      </c>
      <c r="B2175" s="1" t="n">
        <v>44245</v>
      </c>
      <c r="C2175" s="1" t="n">
        <v>46011</v>
      </c>
      <c r="D2175" t="inlineStr">
        <is>
          <t>VÄSTRA GÖTALANDS LÄN</t>
        </is>
      </c>
      <c r="E2175" t="inlineStr">
        <is>
          <t>BENGTSFORS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44876-2022</t>
        </is>
      </c>
      <c r="B2176" s="1" t="n">
        <v>44840</v>
      </c>
      <c r="C2176" s="1" t="n">
        <v>46011</v>
      </c>
      <c r="D2176" t="inlineStr">
        <is>
          <t>VÄSTRA GÖTALANDS LÄN</t>
        </is>
      </c>
      <c r="E2176" t="inlineStr">
        <is>
          <t>BENGTSFORS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24984-2021</t>
        </is>
      </c>
      <c r="B2177" s="1" t="n">
        <v>44341.52290509259</v>
      </c>
      <c r="C2177" s="1" t="n">
        <v>46011</v>
      </c>
      <c r="D2177" t="inlineStr">
        <is>
          <t>VÄSTRA GÖTALANDS LÄN</t>
        </is>
      </c>
      <c r="E2177" t="inlineStr">
        <is>
          <t>TRANEMO</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8817-2022</t>
        </is>
      </c>
      <c r="B2178" s="1" t="n">
        <v>44614</v>
      </c>
      <c r="C2178" s="1" t="n">
        <v>46011</v>
      </c>
      <c r="D2178" t="inlineStr">
        <is>
          <t>VÄSTRA GÖTALANDS LÄN</t>
        </is>
      </c>
      <c r="E2178" t="inlineStr">
        <is>
          <t>SKÖVDE</t>
        </is>
      </c>
      <c r="F2178" t="inlineStr">
        <is>
          <t>Kyrkan</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73187-2021</t>
        </is>
      </c>
      <c r="B2179" s="1" t="n">
        <v>44550</v>
      </c>
      <c r="C2179" s="1" t="n">
        <v>46011</v>
      </c>
      <c r="D2179" t="inlineStr">
        <is>
          <t>VÄSTRA GÖTALANDS LÄN</t>
        </is>
      </c>
      <c r="E2179" t="inlineStr">
        <is>
          <t>ALINGSÅS</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47024-2021</t>
        </is>
      </c>
      <c r="B2180" s="1" t="n">
        <v>44446.59780092593</v>
      </c>
      <c r="C2180" s="1" t="n">
        <v>46011</v>
      </c>
      <c r="D2180" t="inlineStr">
        <is>
          <t>VÄSTRA GÖTALANDS LÄN</t>
        </is>
      </c>
      <c r="E2180" t="inlineStr">
        <is>
          <t>VÅRGÅRDA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7627-2021</t>
        </is>
      </c>
      <c r="B2181" s="1" t="n">
        <v>44242</v>
      </c>
      <c r="C2181" s="1" t="n">
        <v>46011</v>
      </c>
      <c r="D2181" t="inlineStr">
        <is>
          <t>VÄSTRA GÖTALANDS LÄN</t>
        </is>
      </c>
      <c r="E2181" t="inlineStr">
        <is>
          <t>ÅMÅL</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46535-2021</t>
        </is>
      </c>
      <c r="B2182" s="1" t="n">
        <v>44445</v>
      </c>
      <c r="C2182" s="1" t="n">
        <v>46011</v>
      </c>
      <c r="D2182" t="inlineStr">
        <is>
          <t>VÄSTRA GÖTALANDS LÄN</t>
        </is>
      </c>
      <c r="E2182" t="inlineStr">
        <is>
          <t>TANUM</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7439-2021</t>
        </is>
      </c>
      <c r="B2183" s="1" t="n">
        <v>44239</v>
      </c>
      <c r="C2183" s="1" t="n">
        <v>46011</v>
      </c>
      <c r="D2183" t="inlineStr">
        <is>
          <t>VÄSTRA GÖTALANDS LÄN</t>
        </is>
      </c>
      <c r="E2183" t="inlineStr">
        <is>
          <t>FÄRGELANDA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5999-2022</t>
        </is>
      </c>
      <c r="B2184" s="1" t="n">
        <v>44599.43431712963</v>
      </c>
      <c r="C2184" s="1" t="n">
        <v>46011</v>
      </c>
      <c r="D2184" t="inlineStr">
        <is>
          <t>VÄSTRA GÖTALANDS LÄN</t>
        </is>
      </c>
      <c r="E2184" t="inlineStr">
        <is>
          <t>BENGTSFORS</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6002-2022</t>
        </is>
      </c>
      <c r="B2185" s="1" t="n">
        <v>44599</v>
      </c>
      <c r="C2185" s="1" t="n">
        <v>46011</v>
      </c>
      <c r="D2185" t="inlineStr">
        <is>
          <t>VÄSTRA GÖTALANDS LÄN</t>
        </is>
      </c>
      <c r="E2185" t="inlineStr">
        <is>
          <t>TRANEMO</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38566-2021</t>
        </is>
      </c>
      <c r="B2186" s="1" t="n">
        <v>44407.70712962963</v>
      </c>
      <c r="C2186" s="1" t="n">
        <v>46011</v>
      </c>
      <c r="D2186" t="inlineStr">
        <is>
          <t>VÄSTRA GÖTALANDS LÄN</t>
        </is>
      </c>
      <c r="E2186" t="inlineStr">
        <is>
          <t>ÅMÅL</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10150-2022</t>
        </is>
      </c>
      <c r="B2187" s="1" t="n">
        <v>44622</v>
      </c>
      <c r="C2187" s="1" t="n">
        <v>46011</v>
      </c>
      <c r="D2187" t="inlineStr">
        <is>
          <t>VÄSTRA GÖTALANDS LÄN</t>
        </is>
      </c>
      <c r="E2187" t="inlineStr">
        <is>
          <t>TROLLHÄTTAN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43562-2021</t>
        </is>
      </c>
      <c r="B2188" s="1" t="n">
        <v>44433.41525462963</v>
      </c>
      <c r="C2188" s="1" t="n">
        <v>46011</v>
      </c>
      <c r="D2188" t="inlineStr">
        <is>
          <t>VÄSTRA GÖTALANDS LÄN</t>
        </is>
      </c>
      <c r="E2188" t="inlineStr">
        <is>
          <t>MARIESTAD</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38497-2021</t>
        </is>
      </c>
      <c r="B2189" s="1" t="n">
        <v>44407</v>
      </c>
      <c r="C2189" s="1" t="n">
        <v>46011</v>
      </c>
      <c r="D2189" t="inlineStr">
        <is>
          <t>VÄSTRA GÖTALANDS LÄN</t>
        </is>
      </c>
      <c r="E2189" t="inlineStr">
        <is>
          <t>MARK</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30373-2022</t>
        </is>
      </c>
      <c r="B2190" s="1" t="n">
        <v>44760</v>
      </c>
      <c r="C2190" s="1" t="n">
        <v>46011</v>
      </c>
      <c r="D2190" t="inlineStr">
        <is>
          <t>VÄSTRA GÖTALANDS LÄN</t>
        </is>
      </c>
      <c r="E2190" t="inlineStr">
        <is>
          <t>KUNGÄLV</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30377-2022</t>
        </is>
      </c>
      <c r="B2191" s="1" t="n">
        <v>44760</v>
      </c>
      <c r="C2191" s="1" t="n">
        <v>46011</v>
      </c>
      <c r="D2191" t="inlineStr">
        <is>
          <t>VÄSTRA GÖTALANDS LÄN</t>
        </is>
      </c>
      <c r="E2191" t="inlineStr">
        <is>
          <t>KUNGÄLV</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54878-2022</t>
        </is>
      </c>
      <c r="B2192" s="1" t="n">
        <v>44886</v>
      </c>
      <c r="C2192" s="1" t="n">
        <v>46011</v>
      </c>
      <c r="D2192" t="inlineStr">
        <is>
          <t>VÄSTRA GÖTALANDS LÄN</t>
        </is>
      </c>
      <c r="E2192" t="inlineStr">
        <is>
          <t>BORÅS</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5171-2021</t>
        </is>
      </c>
      <c r="B2193" s="1" t="n">
        <v>44228.6758912037</v>
      </c>
      <c r="C2193" s="1" t="n">
        <v>46011</v>
      </c>
      <c r="D2193" t="inlineStr">
        <is>
          <t>VÄSTRA GÖTALANDS LÄN</t>
        </is>
      </c>
      <c r="E2193" t="inlineStr">
        <is>
          <t>MELLERUD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5193-2021</t>
        </is>
      </c>
      <c r="B2194" s="1" t="n">
        <v>44228</v>
      </c>
      <c r="C2194" s="1" t="n">
        <v>46011</v>
      </c>
      <c r="D2194" t="inlineStr">
        <is>
          <t>VÄSTRA GÖTALANDS LÄN</t>
        </is>
      </c>
      <c r="E2194" t="inlineStr">
        <is>
          <t>BOLLEBYGD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5285-2021</t>
        </is>
      </c>
      <c r="B2195" s="1" t="n">
        <v>44229</v>
      </c>
      <c r="C2195" s="1" t="n">
        <v>46011</v>
      </c>
      <c r="D2195" t="inlineStr">
        <is>
          <t>VÄSTRA GÖTALANDS LÄN</t>
        </is>
      </c>
      <c r="E2195" t="inlineStr">
        <is>
          <t>VÄNERSBORG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12488-2022</t>
        </is>
      </c>
      <c r="B2196" s="1" t="n">
        <v>44638.47898148148</v>
      </c>
      <c r="C2196" s="1" t="n">
        <v>46011</v>
      </c>
      <c r="D2196" t="inlineStr">
        <is>
          <t>VÄSTRA GÖTALANDS LÄN</t>
        </is>
      </c>
      <c r="E2196" t="inlineStr">
        <is>
          <t>HERRLJUNGA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9205-2022</t>
        </is>
      </c>
      <c r="B2197" s="1" t="n">
        <v>44615</v>
      </c>
      <c r="C2197" s="1" t="n">
        <v>46011</v>
      </c>
      <c r="D2197" t="inlineStr">
        <is>
          <t>VÄSTRA GÖTALANDS LÄN</t>
        </is>
      </c>
      <c r="E2197" t="inlineStr">
        <is>
          <t>SVENLJUNGA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46436-2022</t>
        </is>
      </c>
      <c r="B2198" s="1" t="n">
        <v>44848.46362268519</v>
      </c>
      <c r="C2198" s="1" t="n">
        <v>46011</v>
      </c>
      <c r="D2198" t="inlineStr">
        <is>
          <t>VÄSTRA GÖTALANDS LÄN</t>
        </is>
      </c>
      <c r="E2198" t="inlineStr">
        <is>
          <t>STRÖMSTAD</t>
        </is>
      </c>
      <c r="F2198" t="inlineStr">
        <is>
          <t>Kommuner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36741-2021</t>
        </is>
      </c>
      <c r="B2199" s="1" t="n">
        <v>44392</v>
      </c>
      <c r="C2199" s="1" t="n">
        <v>46011</v>
      </c>
      <c r="D2199" t="inlineStr">
        <is>
          <t>VÄSTRA GÖTALANDS LÄN</t>
        </is>
      </c>
      <c r="E2199" t="inlineStr">
        <is>
          <t>HÄRRYDA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54856-2021</t>
        </is>
      </c>
      <c r="B2200" s="1" t="n">
        <v>44474.32905092592</v>
      </c>
      <c r="C2200" s="1" t="n">
        <v>46011</v>
      </c>
      <c r="D2200" t="inlineStr">
        <is>
          <t>VÄSTRA GÖTALANDS LÄN</t>
        </is>
      </c>
      <c r="E2200" t="inlineStr">
        <is>
          <t>TIDAHOLM</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9004-2022</t>
        </is>
      </c>
      <c r="B2201" s="1" t="n">
        <v>44615</v>
      </c>
      <c r="C2201" s="1" t="n">
        <v>46011</v>
      </c>
      <c r="D2201" t="inlineStr">
        <is>
          <t>VÄSTRA GÖTALANDS LÄN</t>
        </is>
      </c>
      <c r="E2201" t="inlineStr">
        <is>
          <t>TIDAHOLM</t>
        </is>
      </c>
      <c r="F2201" t="inlineStr">
        <is>
          <t>Kyrkan</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45829-2021</t>
        </is>
      </c>
      <c r="B2202" s="1" t="n">
        <v>44441.52818287037</v>
      </c>
      <c r="C2202" s="1" t="n">
        <v>46011</v>
      </c>
      <c r="D2202" t="inlineStr">
        <is>
          <t>VÄSTRA GÖTALANDS LÄN</t>
        </is>
      </c>
      <c r="E2202" t="inlineStr">
        <is>
          <t>HERRLJUNGA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45832-2021</t>
        </is>
      </c>
      <c r="B2203" s="1" t="n">
        <v>44441.53571759259</v>
      </c>
      <c r="C2203" s="1" t="n">
        <v>46011</v>
      </c>
      <c r="D2203" t="inlineStr">
        <is>
          <t>VÄSTRA GÖTALANDS LÄN</t>
        </is>
      </c>
      <c r="E2203" t="inlineStr">
        <is>
          <t>HERRLJUNGA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29144-2022</t>
        </is>
      </c>
      <c r="B2204" s="1" t="n">
        <v>44750</v>
      </c>
      <c r="C2204" s="1" t="n">
        <v>46011</v>
      </c>
      <c r="D2204" t="inlineStr">
        <is>
          <t>VÄSTRA GÖTALANDS LÄN</t>
        </is>
      </c>
      <c r="E2204" t="inlineStr">
        <is>
          <t>ULRICEHAMN</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12752-2021</t>
        </is>
      </c>
      <c r="B2205" s="1" t="n">
        <v>44270.6653125</v>
      </c>
      <c r="C2205" s="1" t="n">
        <v>46011</v>
      </c>
      <c r="D2205" t="inlineStr">
        <is>
          <t>VÄSTRA GÖTALANDS LÄN</t>
        </is>
      </c>
      <c r="E2205" t="inlineStr">
        <is>
          <t>TANUM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17092-2021</t>
        </is>
      </c>
      <c r="B2206" s="1" t="n">
        <v>44298</v>
      </c>
      <c r="C2206" s="1" t="n">
        <v>46011</v>
      </c>
      <c r="D2206" t="inlineStr">
        <is>
          <t>VÄSTRA GÖTALANDS LÄN</t>
        </is>
      </c>
      <c r="E2206" t="inlineStr">
        <is>
          <t>BORÅS</t>
        </is>
      </c>
      <c r="F2206" t="inlineStr">
        <is>
          <t>Sveaskog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12745-2021</t>
        </is>
      </c>
      <c r="B2207" s="1" t="n">
        <v>44270</v>
      </c>
      <c r="C2207" s="1" t="n">
        <v>46011</v>
      </c>
      <c r="D2207" t="inlineStr">
        <is>
          <t>VÄSTRA GÖTALANDS LÄN</t>
        </is>
      </c>
      <c r="E2207" t="inlineStr">
        <is>
          <t>TANUM</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63785-2021</t>
        </is>
      </c>
      <c r="B2208" s="1" t="n">
        <v>44509</v>
      </c>
      <c r="C2208" s="1" t="n">
        <v>46011</v>
      </c>
      <c r="D2208" t="inlineStr">
        <is>
          <t>VÄSTRA GÖTALANDS LÄN</t>
        </is>
      </c>
      <c r="E2208" t="inlineStr">
        <is>
          <t>TRANEMO</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20973-2021</t>
        </is>
      </c>
      <c r="B2209" s="1" t="n">
        <v>44318</v>
      </c>
      <c r="C2209" s="1" t="n">
        <v>46011</v>
      </c>
      <c r="D2209" t="inlineStr">
        <is>
          <t>VÄSTRA GÖTALANDS LÄN</t>
        </is>
      </c>
      <c r="E2209" t="inlineStr">
        <is>
          <t>STRÖMSTAD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20978-2021</t>
        </is>
      </c>
      <c r="B2210" s="1" t="n">
        <v>44318</v>
      </c>
      <c r="C2210" s="1" t="n">
        <v>46011</v>
      </c>
      <c r="D2210" t="inlineStr">
        <is>
          <t>VÄSTRA GÖTALANDS LÄN</t>
        </is>
      </c>
      <c r="E2210" t="inlineStr">
        <is>
          <t>TANUM</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43273-2022</t>
        </is>
      </c>
      <c r="B2211" s="1" t="n">
        <v>44834.48917824074</v>
      </c>
      <c r="C2211" s="1" t="n">
        <v>46011</v>
      </c>
      <c r="D2211" t="inlineStr">
        <is>
          <t>VÄSTRA GÖTALANDS LÄN</t>
        </is>
      </c>
      <c r="E2211" t="inlineStr">
        <is>
          <t>HERRLJUNGA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46932-2022</t>
        </is>
      </c>
      <c r="B2212" s="1" t="n">
        <v>44851.74324074074</v>
      </c>
      <c r="C2212" s="1" t="n">
        <v>46011</v>
      </c>
      <c r="D2212" t="inlineStr">
        <is>
          <t>VÄSTRA GÖTALANDS LÄN</t>
        </is>
      </c>
      <c r="E2212" t="inlineStr">
        <is>
          <t>VARA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46933-2022</t>
        </is>
      </c>
      <c r="B2213" s="1" t="n">
        <v>44851.74546296296</v>
      </c>
      <c r="C2213" s="1" t="n">
        <v>46011</v>
      </c>
      <c r="D2213" t="inlineStr">
        <is>
          <t>VÄSTRA GÖTALANDS LÄN</t>
        </is>
      </c>
      <c r="E2213" t="inlineStr">
        <is>
          <t>VARA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63680-2021</t>
        </is>
      </c>
      <c r="B2214" s="1" t="n">
        <v>44509.38251157408</v>
      </c>
      <c r="C2214" s="1" t="n">
        <v>46011</v>
      </c>
      <c r="D2214" t="inlineStr">
        <is>
          <t>VÄSTRA GÖTALANDS LÄN</t>
        </is>
      </c>
      <c r="E2214" t="inlineStr">
        <is>
          <t>ULRICEHAMN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22059-2022</t>
        </is>
      </c>
      <c r="B2215" s="1" t="n">
        <v>44711.69013888889</v>
      </c>
      <c r="C2215" s="1" t="n">
        <v>46011</v>
      </c>
      <c r="D2215" t="inlineStr">
        <is>
          <t>VÄSTRA GÖTALANDS LÄN</t>
        </is>
      </c>
      <c r="E2215" t="inlineStr">
        <is>
          <t>FÄRGELANDA</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56460-2021</t>
        </is>
      </c>
      <c r="B2216" s="1" t="n">
        <v>44480.52538194445</v>
      </c>
      <c r="C2216" s="1" t="n">
        <v>46011</v>
      </c>
      <c r="D2216" t="inlineStr">
        <is>
          <t>VÄSTRA GÖTALANDS LÄN</t>
        </is>
      </c>
      <c r="E2216" t="inlineStr">
        <is>
          <t>BENGTSFORS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9386-2022</t>
        </is>
      </c>
      <c r="B2217" s="1" t="n">
        <v>44616.63900462963</v>
      </c>
      <c r="C2217" s="1" t="n">
        <v>46011</v>
      </c>
      <c r="D2217" t="inlineStr">
        <is>
          <t>VÄSTRA GÖTALANDS LÄN</t>
        </is>
      </c>
      <c r="E2217" t="inlineStr">
        <is>
          <t>SVENLJUNGA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59335-2021</t>
        </is>
      </c>
      <c r="B2218" s="1" t="n">
        <v>44491</v>
      </c>
      <c r="C2218" s="1" t="n">
        <v>46011</v>
      </c>
      <c r="D2218" t="inlineStr">
        <is>
          <t>VÄSTRA GÖTALANDS LÄN</t>
        </is>
      </c>
      <c r="E2218" t="inlineStr">
        <is>
          <t>SVENLJUNGA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13790-2022</t>
        </is>
      </c>
      <c r="B2219" s="1" t="n">
        <v>44649</v>
      </c>
      <c r="C2219" s="1" t="n">
        <v>46011</v>
      </c>
      <c r="D2219" t="inlineStr">
        <is>
          <t>VÄSTRA GÖTALANDS LÄN</t>
        </is>
      </c>
      <c r="E2219" t="inlineStr">
        <is>
          <t>MARIESTAD</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12881-2021</t>
        </is>
      </c>
      <c r="B2220" s="1" t="n">
        <v>44271</v>
      </c>
      <c r="C2220" s="1" t="n">
        <v>46011</v>
      </c>
      <c r="D2220" t="inlineStr">
        <is>
          <t>VÄSTRA GÖTALANDS LÄN</t>
        </is>
      </c>
      <c r="E2220" t="inlineStr">
        <is>
          <t>MARK</t>
        </is>
      </c>
      <c r="F2220" t="inlineStr">
        <is>
          <t>Kommuner</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17326-2021</t>
        </is>
      </c>
      <c r="B2221" s="1" t="n">
        <v>44298.64422453703</v>
      </c>
      <c r="C2221" s="1" t="n">
        <v>46011</v>
      </c>
      <c r="D2221" t="inlineStr">
        <is>
          <t>VÄSTRA GÖTALANDS LÄN</t>
        </is>
      </c>
      <c r="E2221" t="inlineStr">
        <is>
          <t>VÅRGÅRDA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17343-2021</t>
        </is>
      </c>
      <c r="B2222" s="1" t="n">
        <v>44298.72625</v>
      </c>
      <c r="C2222" s="1" t="n">
        <v>46011</v>
      </c>
      <c r="D2222" t="inlineStr">
        <is>
          <t>VÄSTRA GÖTALANDS LÄN</t>
        </is>
      </c>
      <c r="E2222" t="inlineStr">
        <is>
          <t>TROLLHÄTTAN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10325-2022</t>
        </is>
      </c>
      <c r="B2223" s="1" t="n">
        <v>44623.2690162037</v>
      </c>
      <c r="C2223" s="1" t="n">
        <v>46011</v>
      </c>
      <c r="D2223" t="inlineStr">
        <is>
          <t>VÄSTRA GÖTALANDS LÄN</t>
        </is>
      </c>
      <c r="E2223" t="inlineStr">
        <is>
          <t>TIDAHOLM</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10603-2021</t>
        </is>
      </c>
      <c r="B2224" s="1" t="n">
        <v>44258</v>
      </c>
      <c r="C2224" s="1" t="n">
        <v>46011</v>
      </c>
      <c r="D2224" t="inlineStr">
        <is>
          <t>VÄSTRA GÖTALANDS LÄN</t>
        </is>
      </c>
      <c r="E2224" t="inlineStr">
        <is>
          <t>BENGTSFORS</t>
        </is>
      </c>
      <c r="F2224" t="inlineStr">
        <is>
          <t>Övriga Aktiebolag</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10629-2021</t>
        </is>
      </c>
      <c r="B2225" s="1" t="n">
        <v>44258</v>
      </c>
      <c r="C2225" s="1" t="n">
        <v>46011</v>
      </c>
      <c r="D2225" t="inlineStr">
        <is>
          <t>VÄSTRA GÖTALANDS LÄN</t>
        </is>
      </c>
      <c r="E2225" t="inlineStr">
        <is>
          <t>FÄRGELANDA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11367-2022</t>
        </is>
      </c>
      <c r="B2226" s="1" t="n">
        <v>44630</v>
      </c>
      <c r="C2226" s="1" t="n">
        <v>46011</v>
      </c>
      <c r="D2226" t="inlineStr">
        <is>
          <t>VÄSTRA GÖTALANDS LÄN</t>
        </is>
      </c>
      <c r="E2226" t="inlineStr">
        <is>
          <t>MUNKEDAL</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17990-2022</t>
        </is>
      </c>
      <c r="B2227" s="1" t="n">
        <v>44683</v>
      </c>
      <c r="C2227" s="1" t="n">
        <v>46011</v>
      </c>
      <c r="D2227" t="inlineStr">
        <is>
          <t>VÄSTRA GÖTALANDS LÄN</t>
        </is>
      </c>
      <c r="E2227" t="inlineStr">
        <is>
          <t>BOLLEBYGD</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30432-2022</t>
        </is>
      </c>
      <c r="B2228" s="1" t="n">
        <v>44761.48648148148</v>
      </c>
      <c r="C2228" s="1" t="n">
        <v>46011</v>
      </c>
      <c r="D2228" t="inlineStr">
        <is>
          <t>VÄSTRA GÖTALANDS LÄN</t>
        </is>
      </c>
      <c r="E2228" t="inlineStr">
        <is>
          <t>GÖTENE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51293-2022</t>
        </is>
      </c>
      <c r="B2229" s="1" t="n">
        <v>44868.88914351852</v>
      </c>
      <c r="C2229" s="1" t="n">
        <v>46011</v>
      </c>
      <c r="D2229" t="inlineStr">
        <is>
          <t>VÄSTRA GÖTALANDS LÄN</t>
        </is>
      </c>
      <c r="E2229" t="inlineStr">
        <is>
          <t>ULRICEHAMN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54055-2021</t>
        </is>
      </c>
      <c r="B2230" s="1" t="n">
        <v>44470</v>
      </c>
      <c r="C2230" s="1" t="n">
        <v>46011</v>
      </c>
      <c r="D2230" t="inlineStr">
        <is>
          <t>VÄSTRA GÖTALANDS LÄN</t>
        </is>
      </c>
      <c r="E2230" t="inlineStr">
        <is>
          <t>TANUM</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50982-2022</t>
        </is>
      </c>
      <c r="B2231" s="1" t="n">
        <v>44867</v>
      </c>
      <c r="C2231" s="1" t="n">
        <v>46011</v>
      </c>
      <c r="D2231" t="inlineStr">
        <is>
          <t>VÄSTRA GÖTALANDS LÄN</t>
        </is>
      </c>
      <c r="E2231" t="inlineStr">
        <is>
          <t>VARA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52568-2021</t>
        </is>
      </c>
      <c r="B2232" s="1" t="n">
        <v>44466</v>
      </c>
      <c r="C2232" s="1" t="n">
        <v>46011</v>
      </c>
      <c r="D2232" t="inlineStr">
        <is>
          <t>VÄSTRA GÖTALANDS LÄN</t>
        </is>
      </c>
      <c r="E2232" t="inlineStr">
        <is>
          <t>GULLSPÅNG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52572-2021</t>
        </is>
      </c>
      <c r="B2233" s="1" t="n">
        <v>44466</v>
      </c>
      <c r="C2233" s="1" t="n">
        <v>46011</v>
      </c>
      <c r="D2233" t="inlineStr">
        <is>
          <t>VÄSTRA GÖTALANDS LÄN</t>
        </is>
      </c>
      <c r="E2233" t="inlineStr">
        <is>
          <t>GULLSPÅNG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50020-2022</t>
        </is>
      </c>
      <c r="B2234" s="1" t="n">
        <v>44865</v>
      </c>
      <c r="C2234" s="1" t="n">
        <v>46011</v>
      </c>
      <c r="D2234" t="inlineStr">
        <is>
          <t>VÄSTRA GÖTALANDS LÄN</t>
        </is>
      </c>
      <c r="E2234" t="inlineStr">
        <is>
          <t>STRÖMSTAD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30731-2022</t>
        </is>
      </c>
      <c r="B2235" s="1" t="n">
        <v>44764.40619212963</v>
      </c>
      <c r="C2235" s="1" t="n">
        <v>46011</v>
      </c>
      <c r="D2235" t="inlineStr">
        <is>
          <t>VÄSTRA GÖTALANDS LÄN</t>
        </is>
      </c>
      <c r="E2235" t="inlineStr">
        <is>
          <t>STRÖMSTAD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14549-2021</t>
        </is>
      </c>
      <c r="B2236" s="1" t="n">
        <v>44279</v>
      </c>
      <c r="C2236" s="1" t="n">
        <v>46011</v>
      </c>
      <c r="D2236" t="inlineStr">
        <is>
          <t>VÄSTRA GÖTALANDS LÄN</t>
        </is>
      </c>
      <c r="E2236" t="inlineStr">
        <is>
          <t>STRÖMSTAD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52403-2021</t>
        </is>
      </c>
      <c r="B2237" s="1" t="n">
        <v>44463</v>
      </c>
      <c r="C2237" s="1" t="n">
        <v>46011</v>
      </c>
      <c r="D2237" t="inlineStr">
        <is>
          <t>VÄSTRA GÖTALANDS LÄN</t>
        </is>
      </c>
      <c r="E2237" t="inlineStr">
        <is>
          <t>TANUM</t>
        </is>
      </c>
      <c r="F2237" t="inlineStr">
        <is>
          <t>Kyrkan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52975-2021</t>
        </is>
      </c>
      <c r="B2238" s="1" t="n">
        <v>44467</v>
      </c>
      <c r="C2238" s="1" t="n">
        <v>46011</v>
      </c>
      <c r="D2238" t="inlineStr">
        <is>
          <t>VÄSTRA GÖTALANDS LÄN</t>
        </is>
      </c>
      <c r="E2238" t="inlineStr">
        <is>
          <t>BORÅS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35672-2021</t>
        </is>
      </c>
      <c r="B2239" s="1" t="n">
        <v>44386</v>
      </c>
      <c r="C2239" s="1" t="n">
        <v>46011</v>
      </c>
      <c r="D2239" t="inlineStr">
        <is>
          <t>VÄSTRA GÖTALANDS LÄN</t>
        </is>
      </c>
      <c r="E2239" t="inlineStr">
        <is>
          <t>GULLSPÅNG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23080-2022</t>
        </is>
      </c>
      <c r="B2240" s="1" t="n">
        <v>44715</v>
      </c>
      <c r="C2240" s="1" t="n">
        <v>46011</v>
      </c>
      <c r="D2240" t="inlineStr">
        <is>
          <t>VÄSTRA GÖTALANDS LÄN</t>
        </is>
      </c>
      <c r="E2240" t="inlineStr">
        <is>
          <t>TIBRO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68566-2020</t>
        </is>
      </c>
      <c r="B2241" s="1" t="n">
        <v>44186</v>
      </c>
      <c r="C2241" s="1" t="n">
        <v>46011</v>
      </c>
      <c r="D2241" t="inlineStr">
        <is>
          <t>VÄSTRA GÖTALANDS LÄN</t>
        </is>
      </c>
      <c r="E2241" t="inlineStr">
        <is>
          <t>BORÅS</t>
        </is>
      </c>
      <c r="G2241" t="n">
        <v>10.3</v>
      </c>
      <c r="H2241" t="n">
        <v>0</v>
      </c>
      <c r="I2241" t="n">
        <v>0</v>
      </c>
      <c r="J2241" t="n">
        <v>0</v>
      </c>
      <c r="K2241" t="n">
        <v>0</v>
      </c>
      <c r="L2241" t="n">
        <v>0</v>
      </c>
      <c r="M2241" t="n">
        <v>0</v>
      </c>
      <c r="N2241" t="n">
        <v>0</v>
      </c>
      <c r="O2241" t="n">
        <v>0</v>
      </c>
      <c r="P2241" t="n">
        <v>0</v>
      </c>
      <c r="Q2241" t="n">
        <v>0</v>
      </c>
      <c r="R2241" s="2" t="inlineStr"/>
    </row>
    <row r="2242" ht="15" customHeight="1">
      <c r="A2242" t="inlineStr">
        <is>
          <t>A 2483-2021</t>
        </is>
      </c>
      <c r="B2242" s="1" t="n">
        <v>44214.56694444444</v>
      </c>
      <c r="C2242" s="1" t="n">
        <v>46011</v>
      </c>
      <c r="D2242" t="inlineStr">
        <is>
          <t>VÄSTRA GÖTALANDS LÄN</t>
        </is>
      </c>
      <c r="E2242" t="inlineStr">
        <is>
          <t>MELLERUD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7806-2021</t>
        </is>
      </c>
      <c r="B2243" s="1" t="n">
        <v>44242</v>
      </c>
      <c r="C2243" s="1" t="n">
        <v>46011</v>
      </c>
      <c r="D2243" t="inlineStr">
        <is>
          <t>VÄSTRA GÖTALANDS LÄN</t>
        </is>
      </c>
      <c r="E2243" t="inlineStr">
        <is>
          <t>FÄRGELANDA</t>
        </is>
      </c>
      <c r="G2243" t="n">
        <v>9.4</v>
      </c>
      <c r="H2243" t="n">
        <v>0</v>
      </c>
      <c r="I2243" t="n">
        <v>0</v>
      </c>
      <c r="J2243" t="n">
        <v>0</v>
      </c>
      <c r="K2243" t="n">
        <v>0</v>
      </c>
      <c r="L2243" t="n">
        <v>0</v>
      </c>
      <c r="M2243" t="n">
        <v>0</v>
      </c>
      <c r="N2243" t="n">
        <v>0</v>
      </c>
      <c r="O2243" t="n">
        <v>0</v>
      </c>
      <c r="P2243" t="n">
        <v>0</v>
      </c>
      <c r="Q2243" t="n">
        <v>0</v>
      </c>
      <c r="R2243" s="2" t="inlineStr"/>
    </row>
    <row r="2244" ht="15" customHeight="1">
      <c r="A2244" t="inlineStr">
        <is>
          <t>A 32158-2022</t>
        </is>
      </c>
      <c r="B2244" s="1" t="n">
        <v>44781</v>
      </c>
      <c r="C2244" s="1" t="n">
        <v>46011</v>
      </c>
      <c r="D2244" t="inlineStr">
        <is>
          <t>VÄSTRA GÖTALANDS LÄN</t>
        </is>
      </c>
      <c r="E2244" t="inlineStr">
        <is>
          <t>HJO</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51167-2021</t>
        </is>
      </c>
      <c r="B2245" s="1" t="n">
        <v>44461</v>
      </c>
      <c r="C2245" s="1" t="n">
        <v>46011</v>
      </c>
      <c r="D2245" t="inlineStr">
        <is>
          <t>VÄSTRA GÖTALANDS LÄN</t>
        </is>
      </c>
      <c r="E2245" t="inlineStr">
        <is>
          <t>ALINGSÅS</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67935-2021</t>
        </is>
      </c>
      <c r="B2246" s="1" t="n">
        <v>44525.62038194444</v>
      </c>
      <c r="C2246" s="1" t="n">
        <v>46011</v>
      </c>
      <c r="D2246" t="inlineStr">
        <is>
          <t>VÄSTRA GÖTALANDS LÄN</t>
        </is>
      </c>
      <c r="E2246" t="inlineStr">
        <is>
          <t>BENGTSFORS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70090-2021</t>
        </is>
      </c>
      <c r="B2247" s="1" t="n">
        <v>44533.553125</v>
      </c>
      <c r="C2247" s="1" t="n">
        <v>46011</v>
      </c>
      <c r="D2247" t="inlineStr">
        <is>
          <t>VÄSTRA GÖTALANDS LÄN</t>
        </is>
      </c>
      <c r="E2247" t="inlineStr">
        <is>
          <t>MARK</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27494-2021</t>
        </is>
      </c>
      <c r="B2248" s="1" t="n">
        <v>44351</v>
      </c>
      <c r="C2248" s="1" t="n">
        <v>46011</v>
      </c>
      <c r="D2248" t="inlineStr">
        <is>
          <t>VÄSTRA GÖTALANDS LÄN</t>
        </is>
      </c>
      <c r="E2248" t="inlineStr">
        <is>
          <t>UDDEVALLA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18613-2021</t>
        </is>
      </c>
      <c r="B2249" s="1" t="n">
        <v>44306</v>
      </c>
      <c r="C2249" s="1" t="n">
        <v>46011</v>
      </c>
      <c r="D2249" t="inlineStr">
        <is>
          <t>VÄSTRA GÖTALANDS LÄN</t>
        </is>
      </c>
      <c r="E2249" t="inlineStr">
        <is>
          <t>BENGTSFORS</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51980-2021</t>
        </is>
      </c>
      <c r="B2250" s="1" t="n">
        <v>44463</v>
      </c>
      <c r="C2250" s="1" t="n">
        <v>46011</v>
      </c>
      <c r="D2250" t="inlineStr">
        <is>
          <t>VÄSTRA GÖTALANDS LÄN</t>
        </is>
      </c>
      <c r="E2250" t="inlineStr">
        <is>
          <t>BORÅS</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68875-2021</t>
        </is>
      </c>
      <c r="B2251" s="1" t="n">
        <v>44530.42803240741</v>
      </c>
      <c r="C2251" s="1" t="n">
        <v>46011</v>
      </c>
      <c r="D2251" t="inlineStr">
        <is>
          <t>VÄSTRA GÖTALANDS LÄN</t>
        </is>
      </c>
      <c r="E2251" t="inlineStr">
        <is>
          <t>FALKÖPING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65106-2021</t>
        </is>
      </c>
      <c r="B2252" s="1" t="n">
        <v>44515.4025925926</v>
      </c>
      <c r="C2252" s="1" t="n">
        <v>46011</v>
      </c>
      <c r="D2252" t="inlineStr">
        <is>
          <t>VÄSTRA GÖTALANDS LÄN</t>
        </is>
      </c>
      <c r="E2252" t="inlineStr">
        <is>
          <t>SVENLJUNGA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65112-2021</t>
        </is>
      </c>
      <c r="B2253" s="1" t="n">
        <v>44515.4119212963</v>
      </c>
      <c r="C2253" s="1" t="n">
        <v>46011</v>
      </c>
      <c r="D2253" t="inlineStr">
        <is>
          <t>VÄSTRA GÖTALANDS LÄN</t>
        </is>
      </c>
      <c r="E2253" t="inlineStr">
        <is>
          <t>TIBRO</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73292-2021</t>
        </is>
      </c>
      <c r="B2254" s="1" t="n">
        <v>44550</v>
      </c>
      <c r="C2254" s="1" t="n">
        <v>46011</v>
      </c>
      <c r="D2254" t="inlineStr">
        <is>
          <t>VÄSTRA GÖTALANDS LÄN</t>
        </is>
      </c>
      <c r="E2254" t="inlineStr">
        <is>
          <t>ORUST</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3392-2021</t>
        </is>
      </c>
      <c r="B2255" s="1" t="n">
        <v>44218</v>
      </c>
      <c r="C2255" s="1" t="n">
        <v>46011</v>
      </c>
      <c r="D2255" t="inlineStr">
        <is>
          <t>VÄSTRA GÖTALANDS LÄN</t>
        </is>
      </c>
      <c r="E2255" t="inlineStr">
        <is>
          <t>ULRICEHAMN</t>
        </is>
      </c>
      <c r="G2255" t="n">
        <v>9.1</v>
      </c>
      <c r="H2255" t="n">
        <v>0</v>
      </c>
      <c r="I2255" t="n">
        <v>0</v>
      </c>
      <c r="J2255" t="n">
        <v>0</v>
      </c>
      <c r="K2255" t="n">
        <v>0</v>
      </c>
      <c r="L2255" t="n">
        <v>0</v>
      </c>
      <c r="M2255" t="n">
        <v>0</v>
      </c>
      <c r="N2255" t="n">
        <v>0</v>
      </c>
      <c r="O2255" t="n">
        <v>0</v>
      </c>
      <c r="P2255" t="n">
        <v>0</v>
      </c>
      <c r="Q2255" t="n">
        <v>0</v>
      </c>
      <c r="R2255" s="2" t="inlineStr"/>
    </row>
    <row r="2256" ht="15" customHeight="1">
      <c r="A2256" t="inlineStr">
        <is>
          <t>A 63257-2021</t>
        </is>
      </c>
      <c r="B2256" s="1" t="n">
        <v>44508</v>
      </c>
      <c r="C2256" s="1" t="n">
        <v>46011</v>
      </c>
      <c r="D2256" t="inlineStr">
        <is>
          <t>VÄSTRA GÖTALANDS LÄN</t>
        </is>
      </c>
      <c r="E2256" t="inlineStr">
        <is>
          <t>HJO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65113-2021</t>
        </is>
      </c>
      <c r="B2257" s="1" t="n">
        <v>44515.41208333334</v>
      </c>
      <c r="C2257" s="1" t="n">
        <v>46011</v>
      </c>
      <c r="D2257" t="inlineStr">
        <is>
          <t>VÄSTRA GÖTALANDS LÄN</t>
        </is>
      </c>
      <c r="E2257" t="inlineStr">
        <is>
          <t>SVENLJUNGA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28249-2021</t>
        </is>
      </c>
      <c r="B2258" s="1" t="n">
        <v>44355</v>
      </c>
      <c r="C2258" s="1" t="n">
        <v>46011</v>
      </c>
      <c r="D2258" t="inlineStr">
        <is>
          <t>VÄSTRA GÖTALANDS LÄN</t>
        </is>
      </c>
      <c r="E2258" t="inlineStr">
        <is>
          <t>LERUM</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8830-2021</t>
        </is>
      </c>
      <c r="B2259" s="1" t="n">
        <v>44246</v>
      </c>
      <c r="C2259" s="1" t="n">
        <v>46011</v>
      </c>
      <c r="D2259" t="inlineStr">
        <is>
          <t>VÄSTRA GÖTALANDS LÄN</t>
        </is>
      </c>
      <c r="E2259" t="inlineStr">
        <is>
          <t>LILLA EDET</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5023-2021</t>
        </is>
      </c>
      <c r="B2260" s="1" t="n">
        <v>44228</v>
      </c>
      <c r="C2260" s="1" t="n">
        <v>46011</v>
      </c>
      <c r="D2260" t="inlineStr">
        <is>
          <t>VÄSTRA GÖTALANDS LÄN</t>
        </is>
      </c>
      <c r="E2260" t="inlineStr">
        <is>
          <t>TRANEMO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16285-2022</t>
        </is>
      </c>
      <c r="B2261" s="1" t="n">
        <v>44670.50589120371</v>
      </c>
      <c r="C2261" s="1" t="n">
        <v>46011</v>
      </c>
      <c r="D2261" t="inlineStr">
        <is>
          <t>VÄSTRA GÖTALANDS LÄN</t>
        </is>
      </c>
      <c r="E2261" t="inlineStr">
        <is>
          <t>FÄRGELANDA</t>
        </is>
      </c>
      <c r="F2261" t="inlineStr">
        <is>
          <t>Kommuner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3680-2021</t>
        </is>
      </c>
      <c r="B2262" s="1" t="n">
        <v>44221</v>
      </c>
      <c r="C2262" s="1" t="n">
        <v>46011</v>
      </c>
      <c r="D2262" t="inlineStr">
        <is>
          <t>VÄSTRA GÖTALANDS LÄN</t>
        </is>
      </c>
      <c r="E2262" t="inlineStr">
        <is>
          <t>VARA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64389-2021</t>
        </is>
      </c>
      <c r="B2263" s="1" t="n">
        <v>44511</v>
      </c>
      <c r="C2263" s="1" t="n">
        <v>46011</v>
      </c>
      <c r="D2263" t="inlineStr">
        <is>
          <t>VÄSTRA GÖTALANDS LÄN</t>
        </is>
      </c>
      <c r="E2263" t="inlineStr">
        <is>
          <t>VÅRGÅRDA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24966-2022</t>
        </is>
      </c>
      <c r="B2264" s="1" t="n">
        <v>44728.66501157408</v>
      </c>
      <c r="C2264" s="1" t="n">
        <v>46011</v>
      </c>
      <c r="D2264" t="inlineStr">
        <is>
          <t>VÄSTRA GÖTALANDS LÄN</t>
        </is>
      </c>
      <c r="E2264" t="inlineStr">
        <is>
          <t>BENGTSFORS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30128-2022</t>
        </is>
      </c>
      <c r="B2265" s="1" t="n">
        <v>44757</v>
      </c>
      <c r="C2265" s="1" t="n">
        <v>46011</v>
      </c>
      <c r="D2265" t="inlineStr">
        <is>
          <t>VÄSTRA GÖTALANDS LÄN</t>
        </is>
      </c>
      <c r="E2265" t="inlineStr">
        <is>
          <t>GÖTENE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35926-2022</t>
        </is>
      </c>
      <c r="B2266" s="1" t="n">
        <v>44802.52351851852</v>
      </c>
      <c r="C2266" s="1" t="n">
        <v>46011</v>
      </c>
      <c r="D2266" t="inlineStr">
        <is>
          <t>VÄSTRA GÖTALANDS LÄN</t>
        </is>
      </c>
      <c r="E2266" t="inlineStr">
        <is>
          <t>TANUM</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35934-2022</t>
        </is>
      </c>
      <c r="B2267" s="1" t="n">
        <v>44802</v>
      </c>
      <c r="C2267" s="1" t="n">
        <v>46011</v>
      </c>
      <c r="D2267" t="inlineStr">
        <is>
          <t>VÄSTRA GÖTALANDS LÄN</t>
        </is>
      </c>
      <c r="E2267" t="inlineStr">
        <is>
          <t>FALKÖPING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981-2022</t>
        </is>
      </c>
      <c r="B2268" s="1" t="n">
        <v>44568</v>
      </c>
      <c r="C2268" s="1" t="n">
        <v>46011</v>
      </c>
      <c r="D2268" t="inlineStr">
        <is>
          <t>VÄSTRA GÖTALANDS LÄN</t>
        </is>
      </c>
      <c r="E2268" t="inlineStr">
        <is>
          <t>ALINGSÅS</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37509-2022</t>
        </is>
      </c>
      <c r="B2269" s="1" t="n">
        <v>44809</v>
      </c>
      <c r="C2269" s="1" t="n">
        <v>46011</v>
      </c>
      <c r="D2269" t="inlineStr">
        <is>
          <t>VÄSTRA GÖTALANDS LÄN</t>
        </is>
      </c>
      <c r="E2269" t="inlineStr">
        <is>
          <t>ALINGSÅS</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38386-2022</t>
        </is>
      </c>
      <c r="B2270" s="1" t="n">
        <v>44812.72657407408</v>
      </c>
      <c r="C2270" s="1" t="n">
        <v>46011</v>
      </c>
      <c r="D2270" t="inlineStr">
        <is>
          <t>VÄSTRA GÖTALANDS LÄN</t>
        </is>
      </c>
      <c r="E2270" t="inlineStr">
        <is>
          <t>LILLA EDET</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43495-2022</t>
        </is>
      </c>
      <c r="B2271" s="1" t="n">
        <v>44834</v>
      </c>
      <c r="C2271" s="1" t="n">
        <v>46011</v>
      </c>
      <c r="D2271" t="inlineStr">
        <is>
          <t>VÄSTRA GÖTALANDS LÄN</t>
        </is>
      </c>
      <c r="E2271" t="inlineStr">
        <is>
          <t>BENGTSFORS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31778-2021</t>
        </is>
      </c>
      <c r="B2272" s="1" t="n">
        <v>44369</v>
      </c>
      <c r="C2272" s="1" t="n">
        <v>46011</v>
      </c>
      <c r="D2272" t="inlineStr">
        <is>
          <t>VÄSTRA GÖTALANDS LÄN</t>
        </is>
      </c>
      <c r="E2272" t="inlineStr">
        <is>
          <t>TANUM</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25422-2021</t>
        </is>
      </c>
      <c r="B2273" s="1" t="n">
        <v>44342.64869212963</v>
      </c>
      <c r="C2273" s="1" t="n">
        <v>46011</v>
      </c>
      <c r="D2273" t="inlineStr">
        <is>
          <t>VÄSTRA GÖTALANDS LÄN</t>
        </is>
      </c>
      <c r="E2273" t="inlineStr">
        <is>
          <t>TROLLHÄTTAN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72297-2021</t>
        </is>
      </c>
      <c r="B2274" s="1" t="n">
        <v>44545.38498842593</v>
      </c>
      <c r="C2274" s="1" t="n">
        <v>46011</v>
      </c>
      <c r="D2274" t="inlineStr">
        <is>
          <t>VÄSTRA GÖTALANDS LÄN</t>
        </is>
      </c>
      <c r="E2274" t="inlineStr">
        <is>
          <t>FALKÖPING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55213-2021</t>
        </is>
      </c>
      <c r="B2275" s="1" t="n">
        <v>44475</v>
      </c>
      <c r="C2275" s="1" t="n">
        <v>46011</v>
      </c>
      <c r="D2275" t="inlineStr">
        <is>
          <t>VÄSTRA GÖTALANDS LÄN</t>
        </is>
      </c>
      <c r="E2275" t="inlineStr">
        <is>
          <t>LYSEKIL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64020-2021</t>
        </is>
      </c>
      <c r="B2276" s="1" t="n">
        <v>44510</v>
      </c>
      <c r="C2276" s="1" t="n">
        <v>46011</v>
      </c>
      <c r="D2276" t="inlineStr">
        <is>
          <t>VÄSTRA GÖTALANDS LÄN</t>
        </is>
      </c>
      <c r="E2276" t="inlineStr">
        <is>
          <t>STRÖMSTAD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15565-2021</t>
        </is>
      </c>
      <c r="B2277" s="1" t="n">
        <v>44285</v>
      </c>
      <c r="C2277" s="1" t="n">
        <v>46011</v>
      </c>
      <c r="D2277" t="inlineStr">
        <is>
          <t>VÄSTRA GÖTALANDS LÄN</t>
        </is>
      </c>
      <c r="E2277" t="inlineStr">
        <is>
          <t>MARK</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36560-2021</t>
        </is>
      </c>
      <c r="B2278" s="1" t="n">
        <v>44391</v>
      </c>
      <c r="C2278" s="1" t="n">
        <v>46011</v>
      </c>
      <c r="D2278" t="inlineStr">
        <is>
          <t>VÄSTRA GÖTALANDS LÄN</t>
        </is>
      </c>
      <c r="E2278" t="inlineStr">
        <is>
          <t>ULRICEHAMN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31065-2022</t>
        </is>
      </c>
      <c r="B2279" s="1" t="n">
        <v>44769</v>
      </c>
      <c r="C2279" s="1" t="n">
        <v>46011</v>
      </c>
      <c r="D2279" t="inlineStr">
        <is>
          <t>VÄSTRA GÖTALANDS LÄN</t>
        </is>
      </c>
      <c r="E2279" t="inlineStr">
        <is>
          <t>BORÅS</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36606-2021</t>
        </is>
      </c>
      <c r="B2280" s="1" t="n">
        <v>44391</v>
      </c>
      <c r="C2280" s="1" t="n">
        <v>46011</v>
      </c>
      <c r="D2280" t="inlineStr">
        <is>
          <t>VÄSTRA GÖTALANDS LÄN</t>
        </is>
      </c>
      <c r="E2280" t="inlineStr">
        <is>
          <t>SVENLJUNGA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7786-2022</t>
        </is>
      </c>
      <c r="B2281" s="1" t="n">
        <v>44608</v>
      </c>
      <c r="C2281" s="1" t="n">
        <v>46011</v>
      </c>
      <c r="D2281" t="inlineStr">
        <is>
          <t>VÄSTRA GÖTALANDS LÄN</t>
        </is>
      </c>
      <c r="E2281" t="inlineStr">
        <is>
          <t>HJO</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31450-2021</t>
        </is>
      </c>
      <c r="B2282" s="1" t="n">
        <v>44369</v>
      </c>
      <c r="C2282" s="1" t="n">
        <v>46011</v>
      </c>
      <c r="D2282" t="inlineStr">
        <is>
          <t>VÄSTRA GÖTALANDS LÄN</t>
        </is>
      </c>
      <c r="E2282" t="inlineStr">
        <is>
          <t>MUNKEDAL</t>
        </is>
      </c>
      <c r="F2282" t="inlineStr">
        <is>
          <t>Kyrkan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38000-2022</t>
        </is>
      </c>
      <c r="B2283" s="1" t="n">
        <v>44811.58396990741</v>
      </c>
      <c r="C2283" s="1" t="n">
        <v>46011</v>
      </c>
      <c r="D2283" t="inlineStr">
        <is>
          <t>VÄSTRA GÖTALANDS LÄN</t>
        </is>
      </c>
      <c r="E2283" t="inlineStr">
        <is>
          <t>TROLLHÄTTAN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32700-2021</t>
        </is>
      </c>
      <c r="B2284" s="1" t="n">
        <v>44375</v>
      </c>
      <c r="C2284" s="1" t="n">
        <v>46011</v>
      </c>
      <c r="D2284" t="inlineStr">
        <is>
          <t>VÄSTRA GÖTALANDS LÄN</t>
        </is>
      </c>
      <c r="E2284" t="inlineStr">
        <is>
          <t>BENGTSFORS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15482-2021</t>
        </is>
      </c>
      <c r="B2285" s="1" t="n">
        <v>44285.4638425926</v>
      </c>
      <c r="C2285" s="1" t="n">
        <v>46011</v>
      </c>
      <c r="D2285" t="inlineStr">
        <is>
          <t>VÄSTRA GÖTALANDS LÄN</t>
        </is>
      </c>
      <c r="E2285" t="inlineStr">
        <is>
          <t>BORÅS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15484-2021</t>
        </is>
      </c>
      <c r="B2286" s="1" t="n">
        <v>44285</v>
      </c>
      <c r="C2286" s="1" t="n">
        <v>46011</v>
      </c>
      <c r="D2286" t="inlineStr">
        <is>
          <t>VÄSTRA GÖTALANDS LÄN</t>
        </is>
      </c>
      <c r="E2286" t="inlineStr">
        <is>
          <t>TANUM</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813-2022</t>
        </is>
      </c>
      <c r="B2287" s="1" t="n">
        <v>44571</v>
      </c>
      <c r="C2287" s="1" t="n">
        <v>46011</v>
      </c>
      <c r="D2287" t="inlineStr">
        <is>
          <t>VÄSTRA GÖTALANDS LÄN</t>
        </is>
      </c>
      <c r="E2287" t="inlineStr">
        <is>
          <t>MARIESTAD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66405-2021</t>
        </is>
      </c>
      <c r="B2288" s="1" t="n">
        <v>44518</v>
      </c>
      <c r="C2288" s="1" t="n">
        <v>46011</v>
      </c>
      <c r="D2288" t="inlineStr">
        <is>
          <t>VÄSTRA GÖTALANDS LÄN</t>
        </is>
      </c>
      <c r="E2288" t="inlineStr">
        <is>
          <t>FÄRGELANDA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27329-2022</t>
        </is>
      </c>
      <c r="B2289" s="1" t="n">
        <v>44742.36770833333</v>
      </c>
      <c r="C2289" s="1" t="n">
        <v>46011</v>
      </c>
      <c r="D2289" t="inlineStr">
        <is>
          <t>VÄSTRA GÖTALANDS LÄN</t>
        </is>
      </c>
      <c r="E2289" t="inlineStr">
        <is>
          <t>LIDKÖPING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37155-2022</t>
        </is>
      </c>
      <c r="B2290" s="1" t="n">
        <v>44806.59059027778</v>
      </c>
      <c r="C2290" s="1" t="n">
        <v>46011</v>
      </c>
      <c r="D2290" t="inlineStr">
        <is>
          <t>VÄSTRA GÖTALANDS LÄN</t>
        </is>
      </c>
      <c r="E2290" t="inlineStr">
        <is>
          <t>LIDKÖPING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9801-2021</t>
        </is>
      </c>
      <c r="B2291" s="1" t="n">
        <v>44252</v>
      </c>
      <c r="C2291" s="1" t="n">
        <v>46011</v>
      </c>
      <c r="D2291" t="inlineStr">
        <is>
          <t>VÄSTRA GÖTALANDS LÄN</t>
        </is>
      </c>
      <c r="E2291" t="inlineStr">
        <is>
          <t>LILLA EDET</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14093-2021</t>
        </is>
      </c>
      <c r="B2292" s="1" t="n">
        <v>44278.27473379629</v>
      </c>
      <c r="C2292" s="1" t="n">
        <v>46011</v>
      </c>
      <c r="D2292" t="inlineStr">
        <is>
          <t>VÄSTRA GÖTALANDS LÄN</t>
        </is>
      </c>
      <c r="E2292" t="inlineStr">
        <is>
          <t>GULLSPÅNG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12103-2022</t>
        </is>
      </c>
      <c r="B2293" s="1" t="n">
        <v>44636</v>
      </c>
      <c r="C2293" s="1" t="n">
        <v>46011</v>
      </c>
      <c r="D2293" t="inlineStr">
        <is>
          <t>VÄSTRA GÖTALANDS LÄN</t>
        </is>
      </c>
      <c r="E2293" t="inlineStr">
        <is>
          <t>FALKÖPING</t>
        </is>
      </c>
      <c r="G2293" t="n">
        <v>8.6</v>
      </c>
      <c r="H2293" t="n">
        <v>0</v>
      </c>
      <c r="I2293" t="n">
        <v>0</v>
      </c>
      <c r="J2293" t="n">
        <v>0</v>
      </c>
      <c r="K2293" t="n">
        <v>0</v>
      </c>
      <c r="L2293" t="n">
        <v>0</v>
      </c>
      <c r="M2293" t="n">
        <v>0</v>
      </c>
      <c r="N2293" t="n">
        <v>0</v>
      </c>
      <c r="O2293" t="n">
        <v>0</v>
      </c>
      <c r="P2293" t="n">
        <v>0</v>
      </c>
      <c r="Q2293" t="n">
        <v>0</v>
      </c>
      <c r="R2293" s="2" t="inlineStr"/>
    </row>
    <row r="2294" ht="15" customHeight="1">
      <c r="A2294" t="inlineStr">
        <is>
          <t>A 12124-2022</t>
        </is>
      </c>
      <c r="B2294" s="1" t="n">
        <v>44636</v>
      </c>
      <c r="C2294" s="1" t="n">
        <v>46011</v>
      </c>
      <c r="D2294" t="inlineStr">
        <is>
          <t>VÄSTRA GÖTALANDS LÄN</t>
        </is>
      </c>
      <c r="E2294" t="inlineStr">
        <is>
          <t>FALKÖPING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66525-2021</t>
        </is>
      </c>
      <c r="B2295" s="1" t="n">
        <v>44519.36746527778</v>
      </c>
      <c r="C2295" s="1" t="n">
        <v>46011</v>
      </c>
      <c r="D2295" t="inlineStr">
        <is>
          <t>VÄSTRA GÖTALANDS LÄN</t>
        </is>
      </c>
      <c r="E2295" t="inlineStr">
        <is>
          <t>HERRLJUNGA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62165-2021</t>
        </is>
      </c>
      <c r="B2296" s="1" t="n">
        <v>44502.78605324074</v>
      </c>
      <c r="C2296" s="1" t="n">
        <v>46011</v>
      </c>
      <c r="D2296" t="inlineStr">
        <is>
          <t>VÄSTRA GÖTALANDS LÄN</t>
        </is>
      </c>
      <c r="E2296" t="inlineStr">
        <is>
          <t>HERRLJUNGA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17611-2022</t>
        </is>
      </c>
      <c r="B2297" s="1" t="n">
        <v>44680.39116898148</v>
      </c>
      <c r="C2297" s="1" t="n">
        <v>46011</v>
      </c>
      <c r="D2297" t="inlineStr">
        <is>
          <t>VÄSTRA GÖTALANDS LÄN</t>
        </is>
      </c>
      <c r="E2297" t="inlineStr">
        <is>
          <t>MARK</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36404-2022</t>
        </is>
      </c>
      <c r="B2298" s="1" t="n">
        <v>44804</v>
      </c>
      <c r="C2298" s="1" t="n">
        <v>46011</v>
      </c>
      <c r="D2298" t="inlineStr">
        <is>
          <t>VÄSTRA GÖTALANDS LÄN</t>
        </is>
      </c>
      <c r="E2298" t="inlineStr">
        <is>
          <t>TIBRO</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34906-2021</t>
        </is>
      </c>
      <c r="B2299" s="1" t="n">
        <v>44382</v>
      </c>
      <c r="C2299" s="1" t="n">
        <v>46011</v>
      </c>
      <c r="D2299" t="inlineStr">
        <is>
          <t>VÄSTRA GÖTALANDS LÄN</t>
        </is>
      </c>
      <c r="E2299" t="inlineStr">
        <is>
          <t>BENGTSFORS</t>
        </is>
      </c>
      <c r="F2299" t="inlineStr">
        <is>
          <t>Kyrkan</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62503-2021</t>
        </is>
      </c>
      <c r="B2300" s="1" t="n">
        <v>44503</v>
      </c>
      <c r="C2300" s="1" t="n">
        <v>46011</v>
      </c>
      <c r="D2300" t="inlineStr">
        <is>
          <t>VÄSTRA GÖTALANDS LÄN</t>
        </is>
      </c>
      <c r="E2300" t="inlineStr">
        <is>
          <t>ESSUNGA</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36005-2022</t>
        </is>
      </c>
      <c r="B2301" s="1" t="n">
        <v>44802.62513888889</v>
      </c>
      <c r="C2301" s="1" t="n">
        <v>46011</v>
      </c>
      <c r="D2301" t="inlineStr">
        <is>
          <t>VÄSTRA GÖTALANDS LÄN</t>
        </is>
      </c>
      <c r="E2301" t="inlineStr">
        <is>
          <t>BENGTSFORS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69817-2021</t>
        </is>
      </c>
      <c r="B2302" s="1" t="n">
        <v>44532</v>
      </c>
      <c r="C2302" s="1" t="n">
        <v>46011</v>
      </c>
      <c r="D2302" t="inlineStr">
        <is>
          <t>VÄSTRA GÖTALANDS LÄN</t>
        </is>
      </c>
      <c r="E2302" t="inlineStr">
        <is>
          <t>TÖREBODA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68392-2021</t>
        </is>
      </c>
      <c r="B2303" s="1" t="n">
        <v>44526</v>
      </c>
      <c r="C2303" s="1" t="n">
        <v>46011</v>
      </c>
      <c r="D2303" t="inlineStr">
        <is>
          <t>VÄSTRA GÖTALANDS LÄN</t>
        </is>
      </c>
      <c r="E2303" t="inlineStr">
        <is>
          <t>STRÖMSTAD</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42088-2022</t>
        </is>
      </c>
      <c r="B2304" s="1" t="n">
        <v>44830.53532407407</v>
      </c>
      <c r="C2304" s="1" t="n">
        <v>46011</v>
      </c>
      <c r="D2304" t="inlineStr">
        <is>
          <t>VÄSTRA GÖTALANDS LÄN</t>
        </is>
      </c>
      <c r="E2304" t="inlineStr">
        <is>
          <t>TANUM</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34588-2021</t>
        </is>
      </c>
      <c r="B2305" s="1" t="n">
        <v>44382</v>
      </c>
      <c r="C2305" s="1" t="n">
        <v>46011</v>
      </c>
      <c r="D2305" t="inlineStr">
        <is>
          <t>VÄSTRA GÖTALANDS LÄN</t>
        </is>
      </c>
      <c r="E2305" t="inlineStr">
        <is>
          <t>TIDAHOLM</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34592-2021</t>
        </is>
      </c>
      <c r="B2306" s="1" t="n">
        <v>44382</v>
      </c>
      <c r="C2306" s="1" t="n">
        <v>46011</v>
      </c>
      <c r="D2306" t="inlineStr">
        <is>
          <t>VÄSTRA GÖTALANDS LÄN</t>
        </is>
      </c>
      <c r="E2306" t="inlineStr">
        <is>
          <t>VÄNERSBORG</t>
        </is>
      </c>
      <c r="F2306" t="inlineStr">
        <is>
          <t>Sveaskog</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35600-2022</t>
        </is>
      </c>
      <c r="B2307" s="1" t="n">
        <v>44799.45363425926</v>
      </c>
      <c r="C2307" s="1" t="n">
        <v>46011</v>
      </c>
      <c r="D2307" t="inlineStr">
        <is>
          <t>VÄSTRA GÖTALANDS LÄN</t>
        </is>
      </c>
      <c r="E2307" t="inlineStr">
        <is>
          <t>TRANEMO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34593-2021</t>
        </is>
      </c>
      <c r="B2308" s="1" t="n">
        <v>44382</v>
      </c>
      <c r="C2308" s="1" t="n">
        <v>46011</v>
      </c>
      <c r="D2308" t="inlineStr">
        <is>
          <t>VÄSTRA GÖTALANDS LÄN</t>
        </is>
      </c>
      <c r="E2308" t="inlineStr">
        <is>
          <t>VÄNERSBORG</t>
        </is>
      </c>
      <c r="F2308" t="inlineStr">
        <is>
          <t>Sveaskog</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1882-2022</t>
        </is>
      </c>
      <c r="B2309" s="1" t="n">
        <v>44574</v>
      </c>
      <c r="C2309" s="1" t="n">
        <v>46011</v>
      </c>
      <c r="D2309" t="inlineStr">
        <is>
          <t>VÄSTRA GÖTALANDS LÄN</t>
        </is>
      </c>
      <c r="E2309" t="inlineStr">
        <is>
          <t>TIBRO</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4491-2021</t>
        </is>
      </c>
      <c r="B2310" s="1" t="n">
        <v>44224</v>
      </c>
      <c r="C2310" s="1" t="n">
        <v>46011</v>
      </c>
      <c r="D2310" t="inlineStr">
        <is>
          <t>VÄSTRA GÖTALANDS LÄN</t>
        </is>
      </c>
      <c r="E2310" t="inlineStr">
        <is>
          <t>SVENLJUNGA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17684-2022</t>
        </is>
      </c>
      <c r="B2311" s="1" t="n">
        <v>44680.57590277777</v>
      </c>
      <c r="C2311" s="1" t="n">
        <v>46011</v>
      </c>
      <c r="D2311" t="inlineStr">
        <is>
          <t>VÄSTRA GÖTALANDS LÄN</t>
        </is>
      </c>
      <c r="E2311" t="inlineStr">
        <is>
          <t>TRANEMO</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32814-2022</t>
        </is>
      </c>
      <c r="B2312" s="1" t="n">
        <v>44784.3796875</v>
      </c>
      <c r="C2312" s="1" t="n">
        <v>46011</v>
      </c>
      <c r="D2312" t="inlineStr">
        <is>
          <t>VÄSTRA GÖTALANDS LÄN</t>
        </is>
      </c>
      <c r="E2312" t="inlineStr">
        <is>
          <t>HJO</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32868-2022</t>
        </is>
      </c>
      <c r="B2313" s="1" t="n">
        <v>44784.50792824074</v>
      </c>
      <c r="C2313" s="1" t="n">
        <v>46011</v>
      </c>
      <c r="D2313" t="inlineStr">
        <is>
          <t>VÄSTRA GÖTALANDS LÄN</t>
        </is>
      </c>
      <c r="E2313" t="inlineStr">
        <is>
          <t>MARK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17109-2022</t>
        </is>
      </c>
      <c r="B2314" s="1" t="n">
        <v>44677</v>
      </c>
      <c r="C2314" s="1" t="n">
        <v>46011</v>
      </c>
      <c r="D2314" t="inlineStr">
        <is>
          <t>VÄSTRA GÖTALANDS LÄN</t>
        </is>
      </c>
      <c r="E2314" t="inlineStr">
        <is>
          <t>MELLERUD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32869-2022</t>
        </is>
      </c>
      <c r="B2315" s="1" t="n">
        <v>44784.51399305555</v>
      </c>
      <c r="C2315" s="1" t="n">
        <v>46011</v>
      </c>
      <c r="D2315" t="inlineStr">
        <is>
          <t>VÄSTRA GÖTALANDS LÄN</t>
        </is>
      </c>
      <c r="E2315" t="inlineStr">
        <is>
          <t>HÄRRYDA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33092-2021</t>
        </is>
      </c>
      <c r="B2316" s="1" t="n">
        <v>44376.6027662037</v>
      </c>
      <c r="C2316" s="1" t="n">
        <v>46011</v>
      </c>
      <c r="D2316" t="inlineStr">
        <is>
          <t>VÄSTRA GÖTALANDS LÄN</t>
        </is>
      </c>
      <c r="E2316" t="inlineStr">
        <is>
          <t>VARA</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40935-2021</t>
        </is>
      </c>
      <c r="B2317" s="1" t="n">
        <v>44421</v>
      </c>
      <c r="C2317" s="1" t="n">
        <v>46011</v>
      </c>
      <c r="D2317" t="inlineStr">
        <is>
          <t>VÄSTRA GÖTALANDS LÄN</t>
        </is>
      </c>
      <c r="E2317" t="inlineStr">
        <is>
          <t>GULLSPÅNG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18345-2021</t>
        </is>
      </c>
      <c r="B2318" s="1" t="n">
        <v>44305</v>
      </c>
      <c r="C2318" s="1" t="n">
        <v>46011</v>
      </c>
      <c r="D2318" t="inlineStr">
        <is>
          <t>VÄSTRA GÖTALANDS LÄN</t>
        </is>
      </c>
      <c r="E2318" t="inlineStr">
        <is>
          <t>SKÖVDE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6631-2022</t>
        </is>
      </c>
      <c r="B2319" s="1" t="n">
        <v>44601.88369212963</v>
      </c>
      <c r="C2319" s="1" t="n">
        <v>46011</v>
      </c>
      <c r="D2319" t="inlineStr">
        <is>
          <t>VÄSTRA GÖTALANDS LÄN</t>
        </is>
      </c>
      <c r="E2319" t="inlineStr">
        <is>
          <t>TÖREBODA</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54279-2022</t>
        </is>
      </c>
      <c r="B2320" s="1" t="n">
        <v>44882.3575</v>
      </c>
      <c r="C2320" s="1" t="n">
        <v>46011</v>
      </c>
      <c r="D2320" t="inlineStr">
        <is>
          <t>VÄSTRA GÖTALANDS LÄN</t>
        </is>
      </c>
      <c r="E2320" t="inlineStr">
        <is>
          <t>SVENLJUNGA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18358-2021</t>
        </is>
      </c>
      <c r="B2321" s="1" t="n">
        <v>44305</v>
      </c>
      <c r="C2321" s="1" t="n">
        <v>46011</v>
      </c>
      <c r="D2321" t="inlineStr">
        <is>
          <t>VÄSTRA GÖTALANDS LÄN</t>
        </is>
      </c>
      <c r="E2321" t="inlineStr">
        <is>
          <t>HERRLJUNGA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3045-2022</t>
        </is>
      </c>
      <c r="B2322" s="1" t="n">
        <v>44582</v>
      </c>
      <c r="C2322" s="1" t="n">
        <v>46011</v>
      </c>
      <c r="D2322" t="inlineStr">
        <is>
          <t>VÄSTRA GÖTALANDS LÄN</t>
        </is>
      </c>
      <c r="E2322" t="inlineStr">
        <is>
          <t>ALINGSÅS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43608-2021</t>
        </is>
      </c>
      <c r="B2323" s="1" t="n">
        <v>44433.48688657407</v>
      </c>
      <c r="C2323" s="1" t="n">
        <v>46011</v>
      </c>
      <c r="D2323" t="inlineStr">
        <is>
          <t>VÄSTRA GÖTALANDS LÄN</t>
        </is>
      </c>
      <c r="E2323" t="inlineStr">
        <is>
          <t>TRANEMO</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39044-2022</t>
        </is>
      </c>
      <c r="B2324" s="1" t="n">
        <v>44817.35599537037</v>
      </c>
      <c r="C2324" s="1" t="n">
        <v>46011</v>
      </c>
      <c r="D2324" t="inlineStr">
        <is>
          <t>VÄSTRA GÖTALANDS LÄN</t>
        </is>
      </c>
      <c r="E2324" t="inlineStr">
        <is>
          <t>HERRLJUNGA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37848-2022</t>
        </is>
      </c>
      <c r="B2325" s="1" t="n">
        <v>44811.28633101852</v>
      </c>
      <c r="C2325" s="1" t="n">
        <v>46011</v>
      </c>
      <c r="D2325" t="inlineStr">
        <is>
          <t>VÄSTRA GÖTALANDS LÄN</t>
        </is>
      </c>
      <c r="E2325" t="inlineStr">
        <is>
          <t>VÅRGÅRDA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37868-2022</t>
        </is>
      </c>
      <c r="B2326" s="1" t="n">
        <v>44811</v>
      </c>
      <c r="C2326" s="1" t="n">
        <v>46011</v>
      </c>
      <c r="D2326" t="inlineStr">
        <is>
          <t>VÄSTRA GÖTALANDS LÄN</t>
        </is>
      </c>
      <c r="E2326" t="inlineStr">
        <is>
          <t>MARK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54875-2022</t>
        </is>
      </c>
      <c r="B2327" s="1" t="n">
        <v>44886.33082175926</v>
      </c>
      <c r="C2327" s="1" t="n">
        <v>46011</v>
      </c>
      <c r="D2327" t="inlineStr">
        <is>
          <t>VÄSTRA GÖTALANDS LÄN</t>
        </is>
      </c>
      <c r="E2327" t="inlineStr">
        <is>
          <t>BORÅS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35629-2022</t>
        </is>
      </c>
      <c r="B2328" s="1" t="n">
        <v>44799.53682870371</v>
      </c>
      <c r="C2328" s="1" t="n">
        <v>46011</v>
      </c>
      <c r="D2328" t="inlineStr">
        <is>
          <t>VÄSTRA GÖTALANDS LÄN</t>
        </is>
      </c>
      <c r="E2328" t="inlineStr">
        <is>
          <t>DALS-ED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46573-2021</t>
        </is>
      </c>
      <c r="B2329" s="1" t="n">
        <v>44445</v>
      </c>
      <c r="C2329" s="1" t="n">
        <v>46011</v>
      </c>
      <c r="D2329" t="inlineStr">
        <is>
          <t>VÄSTRA GÖTALANDS LÄN</t>
        </is>
      </c>
      <c r="E2329" t="inlineStr">
        <is>
          <t>MARIESTAD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11449-2022</t>
        </is>
      </c>
      <c r="B2330" s="1" t="n">
        <v>44630</v>
      </c>
      <c r="C2330" s="1" t="n">
        <v>46011</v>
      </c>
      <c r="D2330" t="inlineStr">
        <is>
          <t>VÄSTRA GÖTALANDS LÄN</t>
        </is>
      </c>
      <c r="E2330" t="inlineStr">
        <is>
          <t>TRANEMO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20279-2022</t>
        </is>
      </c>
      <c r="B2331" s="1" t="n">
        <v>44698.71788194445</v>
      </c>
      <c r="C2331" s="1" t="n">
        <v>46011</v>
      </c>
      <c r="D2331" t="inlineStr">
        <is>
          <t>VÄSTRA GÖTALANDS LÄN</t>
        </is>
      </c>
      <c r="E2331" t="inlineStr">
        <is>
          <t>SKÖVDE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21367-2022</t>
        </is>
      </c>
      <c r="B2332" s="1" t="n">
        <v>44705</v>
      </c>
      <c r="C2332" s="1" t="n">
        <v>46011</v>
      </c>
      <c r="D2332" t="inlineStr">
        <is>
          <t>VÄSTRA GÖTALANDS LÄN</t>
        </is>
      </c>
      <c r="E2332" t="inlineStr">
        <is>
          <t>DALS-ED</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43360-2022</t>
        </is>
      </c>
      <c r="B2333" s="1" t="n">
        <v>44834</v>
      </c>
      <c r="C2333" s="1" t="n">
        <v>46011</v>
      </c>
      <c r="D2333" t="inlineStr">
        <is>
          <t>VÄSTRA GÖTALANDS LÄN</t>
        </is>
      </c>
      <c r="E2333" t="inlineStr">
        <is>
          <t>MUNKEDAL</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46707-2022</t>
        </is>
      </c>
      <c r="B2334" s="1" t="n">
        <v>44851.38383101852</v>
      </c>
      <c r="C2334" s="1" t="n">
        <v>46011</v>
      </c>
      <c r="D2334" t="inlineStr">
        <is>
          <t>VÄSTRA GÖTALANDS LÄN</t>
        </is>
      </c>
      <c r="E2334" t="inlineStr">
        <is>
          <t>TIBRO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46724-2022</t>
        </is>
      </c>
      <c r="B2335" s="1" t="n">
        <v>44851</v>
      </c>
      <c r="C2335" s="1" t="n">
        <v>46011</v>
      </c>
      <c r="D2335" t="inlineStr">
        <is>
          <t>VÄSTRA GÖTALANDS LÄN</t>
        </is>
      </c>
      <c r="E2335" t="inlineStr">
        <is>
          <t>STRÖMSTAD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55043-2022</t>
        </is>
      </c>
      <c r="B2336" s="1" t="n">
        <v>44886.56302083333</v>
      </c>
      <c r="C2336" s="1" t="n">
        <v>46011</v>
      </c>
      <c r="D2336" t="inlineStr">
        <is>
          <t>VÄSTRA GÖTALANDS LÄN</t>
        </is>
      </c>
      <c r="E2336" t="inlineStr">
        <is>
          <t>VARA</t>
        </is>
      </c>
      <c r="F2336" t="inlineStr">
        <is>
          <t>Sveaskog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2294-2022</t>
        </is>
      </c>
      <c r="B2337" s="1" t="n">
        <v>44578</v>
      </c>
      <c r="C2337" s="1" t="n">
        <v>46011</v>
      </c>
      <c r="D2337" t="inlineStr">
        <is>
          <t>VÄSTRA GÖTALANDS LÄN</t>
        </is>
      </c>
      <c r="E2337" t="inlineStr">
        <is>
          <t>FALKÖPING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32167-2021</t>
        </is>
      </c>
      <c r="B2338" s="1" t="n">
        <v>44371</v>
      </c>
      <c r="C2338" s="1" t="n">
        <v>46011</v>
      </c>
      <c r="D2338" t="inlineStr">
        <is>
          <t>VÄSTRA GÖTALANDS LÄN</t>
        </is>
      </c>
      <c r="E2338" t="inlineStr">
        <is>
          <t>MARIESTAD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10976-2022</t>
        </is>
      </c>
      <c r="B2339" s="1" t="n">
        <v>44628.42969907408</v>
      </c>
      <c r="C2339" s="1" t="n">
        <v>46011</v>
      </c>
      <c r="D2339" t="inlineStr">
        <is>
          <t>VÄSTRA GÖTALANDS LÄN</t>
        </is>
      </c>
      <c r="E2339" t="inlineStr">
        <is>
          <t>VÄNERSBORG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51451-2022</t>
        </is>
      </c>
      <c r="B2340" s="1" t="n">
        <v>44869.50684027778</v>
      </c>
      <c r="C2340" s="1" t="n">
        <v>46011</v>
      </c>
      <c r="D2340" t="inlineStr">
        <is>
          <t>VÄSTRA GÖTALANDS LÄN</t>
        </is>
      </c>
      <c r="E2340" t="inlineStr">
        <is>
          <t>GÖTENE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42508-2022</t>
        </is>
      </c>
      <c r="B2341" s="1" t="n">
        <v>44831.58648148148</v>
      </c>
      <c r="C2341" s="1" t="n">
        <v>46011</v>
      </c>
      <c r="D2341" t="inlineStr">
        <is>
          <t>VÄSTRA GÖTALANDS LÄN</t>
        </is>
      </c>
      <c r="E2341" t="inlineStr">
        <is>
          <t>HERRLJUNGA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18489-2022</t>
        </is>
      </c>
      <c r="B2342" s="1" t="n">
        <v>44686.59855324074</v>
      </c>
      <c r="C2342" s="1" t="n">
        <v>46011</v>
      </c>
      <c r="D2342" t="inlineStr">
        <is>
          <t>VÄSTRA GÖTALANDS LÄN</t>
        </is>
      </c>
      <c r="E2342" t="inlineStr">
        <is>
          <t>TIDAHOLM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18533-2022</t>
        </is>
      </c>
      <c r="B2343" s="1" t="n">
        <v>44686.73731481482</v>
      </c>
      <c r="C2343" s="1" t="n">
        <v>46011</v>
      </c>
      <c r="D2343" t="inlineStr">
        <is>
          <t>VÄSTRA GÖTALANDS LÄN</t>
        </is>
      </c>
      <c r="E2343" t="inlineStr">
        <is>
          <t>TROLLHÄTTAN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58342-2021</t>
        </is>
      </c>
      <c r="B2344" s="1" t="n">
        <v>44488.41126157407</v>
      </c>
      <c r="C2344" s="1" t="n">
        <v>46011</v>
      </c>
      <c r="D2344" t="inlineStr">
        <is>
          <t>VÄSTRA GÖTALANDS LÄN</t>
        </is>
      </c>
      <c r="E2344" t="inlineStr">
        <is>
          <t>SVENLJUNGA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1233-2022</t>
        </is>
      </c>
      <c r="B2345" s="1" t="n">
        <v>44572</v>
      </c>
      <c r="C2345" s="1" t="n">
        <v>46011</v>
      </c>
      <c r="D2345" t="inlineStr">
        <is>
          <t>VÄSTRA GÖTALANDS LÄN</t>
        </is>
      </c>
      <c r="E2345" t="inlineStr">
        <is>
          <t>FÄRGELANDA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27685-2022</t>
        </is>
      </c>
      <c r="B2346" s="1" t="n">
        <v>44743.43195601852</v>
      </c>
      <c r="C2346" s="1" t="n">
        <v>46011</v>
      </c>
      <c r="D2346" t="inlineStr">
        <is>
          <t>VÄSTRA GÖTALANDS LÄN</t>
        </is>
      </c>
      <c r="E2346" t="inlineStr">
        <is>
          <t>DALS-ED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15672-2022</t>
        </is>
      </c>
      <c r="B2347" s="1" t="n">
        <v>44663.21403935185</v>
      </c>
      <c r="C2347" s="1" t="n">
        <v>46011</v>
      </c>
      <c r="D2347" t="inlineStr">
        <is>
          <t>VÄSTRA GÖTALANDS LÄN</t>
        </is>
      </c>
      <c r="E2347" t="inlineStr">
        <is>
          <t>ULRICEHAMN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55575-2021</t>
        </is>
      </c>
      <c r="B2348" s="1" t="n">
        <v>44475</v>
      </c>
      <c r="C2348" s="1" t="n">
        <v>46011</v>
      </c>
      <c r="D2348" t="inlineStr">
        <is>
          <t>VÄSTRA GÖTALANDS LÄN</t>
        </is>
      </c>
      <c r="E2348" t="inlineStr">
        <is>
          <t>SKÖVDE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55581-2021</t>
        </is>
      </c>
      <c r="B2349" s="1" t="n">
        <v>44475.84278935185</v>
      </c>
      <c r="C2349" s="1" t="n">
        <v>46011</v>
      </c>
      <c r="D2349" t="inlineStr">
        <is>
          <t>VÄSTRA GÖTALANDS LÄN</t>
        </is>
      </c>
      <c r="E2349" t="inlineStr">
        <is>
          <t>ÅMÅL</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30042-2021</t>
        </is>
      </c>
      <c r="B2350" s="1" t="n">
        <v>44363</v>
      </c>
      <c r="C2350" s="1" t="n">
        <v>46011</v>
      </c>
      <c r="D2350" t="inlineStr">
        <is>
          <t>VÄSTRA GÖTALANDS LÄN</t>
        </is>
      </c>
      <c r="E2350" t="inlineStr">
        <is>
          <t>LILLA EDET</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30045-2021</t>
        </is>
      </c>
      <c r="B2351" s="1" t="n">
        <v>44363</v>
      </c>
      <c r="C2351" s="1" t="n">
        <v>46011</v>
      </c>
      <c r="D2351" t="inlineStr">
        <is>
          <t>VÄSTRA GÖTALANDS LÄN</t>
        </is>
      </c>
      <c r="E2351" t="inlineStr">
        <is>
          <t>LILLA EDET</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29087-2021</t>
        </is>
      </c>
      <c r="B2352" s="1" t="n">
        <v>44358</v>
      </c>
      <c r="C2352" s="1" t="n">
        <v>46011</v>
      </c>
      <c r="D2352" t="inlineStr">
        <is>
          <t>VÄSTRA GÖTALANDS LÄN</t>
        </is>
      </c>
      <c r="E2352" t="inlineStr">
        <is>
          <t>MUNKEDAL</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30177-2021</t>
        </is>
      </c>
      <c r="B2353" s="1" t="n">
        <v>44363</v>
      </c>
      <c r="C2353" s="1" t="n">
        <v>46011</v>
      </c>
      <c r="D2353" t="inlineStr">
        <is>
          <t>VÄSTRA GÖTALANDS LÄN</t>
        </is>
      </c>
      <c r="E2353" t="inlineStr">
        <is>
          <t>BOLLEBYGD</t>
        </is>
      </c>
      <c r="F2353" t="inlineStr">
        <is>
          <t>Kyrkan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34744-2021</t>
        </is>
      </c>
      <c r="B2354" s="1" t="n">
        <v>44382.6750462963</v>
      </c>
      <c r="C2354" s="1" t="n">
        <v>46011</v>
      </c>
      <c r="D2354" t="inlineStr">
        <is>
          <t>VÄSTRA GÖTALANDS LÄN</t>
        </is>
      </c>
      <c r="E2354" t="inlineStr">
        <is>
          <t>SKÖVDE</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4991-2022</t>
        </is>
      </c>
      <c r="B2355" s="1" t="n">
        <v>44593.60039351852</v>
      </c>
      <c r="C2355" s="1" t="n">
        <v>46011</v>
      </c>
      <c r="D2355" t="inlineStr">
        <is>
          <t>VÄSTRA GÖTALANDS LÄN</t>
        </is>
      </c>
      <c r="E2355" t="inlineStr">
        <is>
          <t>TANUM</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52777-2021</t>
        </is>
      </c>
      <c r="B2356" s="1" t="n">
        <v>44467</v>
      </c>
      <c r="C2356" s="1" t="n">
        <v>46011</v>
      </c>
      <c r="D2356" t="inlineStr">
        <is>
          <t>VÄSTRA GÖTALANDS LÄN</t>
        </is>
      </c>
      <c r="E2356" t="inlineStr">
        <is>
          <t>LERUM</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52806-2021</t>
        </is>
      </c>
      <c r="B2357" s="1" t="n">
        <v>44456</v>
      </c>
      <c r="C2357" s="1" t="n">
        <v>46011</v>
      </c>
      <c r="D2357" t="inlineStr">
        <is>
          <t>VÄSTRA GÖTALANDS LÄN</t>
        </is>
      </c>
      <c r="E2357" t="inlineStr">
        <is>
          <t>TIDAHOLM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25967-2021</t>
        </is>
      </c>
      <c r="B2358" s="1" t="n">
        <v>44344</v>
      </c>
      <c r="C2358" s="1" t="n">
        <v>46011</v>
      </c>
      <c r="D2358" t="inlineStr">
        <is>
          <t>VÄSTRA GÖTALANDS LÄN</t>
        </is>
      </c>
      <c r="E2358" t="inlineStr">
        <is>
          <t>HÄRRYDA</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34544-2022</t>
        </is>
      </c>
      <c r="B2359" s="1" t="n">
        <v>44793.74420138889</v>
      </c>
      <c r="C2359" s="1" t="n">
        <v>46011</v>
      </c>
      <c r="D2359" t="inlineStr">
        <is>
          <t>VÄSTRA GÖTALANDS LÄN</t>
        </is>
      </c>
      <c r="E2359" t="inlineStr">
        <is>
          <t>TRANEMO</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23317-2022</t>
        </is>
      </c>
      <c r="B2360" s="1" t="n">
        <v>44720.48855324074</v>
      </c>
      <c r="C2360" s="1" t="n">
        <v>46011</v>
      </c>
      <c r="D2360" t="inlineStr">
        <is>
          <t>VÄSTRA GÖTALANDS LÄN</t>
        </is>
      </c>
      <c r="E2360" t="inlineStr">
        <is>
          <t>DALS-ED</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33190-2021</t>
        </is>
      </c>
      <c r="B2361" s="1" t="n">
        <v>44376.87699074074</v>
      </c>
      <c r="C2361" s="1" t="n">
        <v>46011</v>
      </c>
      <c r="D2361" t="inlineStr">
        <is>
          <t>VÄSTRA GÖTALANDS LÄN</t>
        </is>
      </c>
      <c r="E2361" t="inlineStr">
        <is>
          <t>DALS-ED</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9154-2022</t>
        </is>
      </c>
      <c r="B2362" s="1" t="n">
        <v>44615</v>
      </c>
      <c r="C2362" s="1" t="n">
        <v>46011</v>
      </c>
      <c r="D2362" t="inlineStr">
        <is>
          <t>VÄSTRA GÖTALANDS LÄN</t>
        </is>
      </c>
      <c r="E2362" t="inlineStr">
        <is>
          <t>DALS-ED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9159-2022</t>
        </is>
      </c>
      <c r="B2363" s="1" t="n">
        <v>44615.65287037037</v>
      </c>
      <c r="C2363" s="1" t="n">
        <v>46011</v>
      </c>
      <c r="D2363" t="inlineStr">
        <is>
          <t>VÄSTRA GÖTALANDS LÄN</t>
        </is>
      </c>
      <c r="E2363" t="inlineStr">
        <is>
          <t>TIDAHOLM</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9163-2022</t>
        </is>
      </c>
      <c r="B2364" s="1" t="n">
        <v>44615</v>
      </c>
      <c r="C2364" s="1" t="n">
        <v>46011</v>
      </c>
      <c r="D2364" t="inlineStr">
        <is>
          <t>VÄSTRA GÖTALANDS LÄN</t>
        </is>
      </c>
      <c r="E2364" t="inlineStr">
        <is>
          <t>TIDAHOLM</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23443-2021</t>
        </is>
      </c>
      <c r="B2365" s="1" t="n">
        <v>44333.82861111111</v>
      </c>
      <c r="C2365" s="1" t="n">
        <v>46011</v>
      </c>
      <c r="D2365" t="inlineStr">
        <is>
          <t>VÄSTRA GÖTALANDS LÄN</t>
        </is>
      </c>
      <c r="E2365" t="inlineStr">
        <is>
          <t>TANUM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39962-2021</t>
        </is>
      </c>
      <c r="B2366" s="1" t="n">
        <v>44417</v>
      </c>
      <c r="C2366" s="1" t="n">
        <v>46011</v>
      </c>
      <c r="D2366" t="inlineStr">
        <is>
          <t>VÄSTRA GÖTALANDS LÄN</t>
        </is>
      </c>
      <c r="E2366" t="inlineStr">
        <is>
          <t>TANUM</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29499-2021</t>
        </is>
      </c>
      <c r="B2367" s="1" t="n">
        <v>44361</v>
      </c>
      <c r="C2367" s="1" t="n">
        <v>46011</v>
      </c>
      <c r="D2367" t="inlineStr">
        <is>
          <t>VÄSTRA GÖTALANDS LÄN</t>
        </is>
      </c>
      <c r="E2367" t="inlineStr">
        <is>
          <t>TANUM</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19784-2022</t>
        </is>
      </c>
      <c r="B2368" s="1" t="n">
        <v>44694.73462962963</v>
      </c>
      <c r="C2368" s="1" t="n">
        <v>46011</v>
      </c>
      <c r="D2368" t="inlineStr">
        <is>
          <t>VÄSTRA GÖTALANDS LÄN</t>
        </is>
      </c>
      <c r="E2368" t="inlineStr">
        <is>
          <t>ORUST</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19785-2022</t>
        </is>
      </c>
      <c r="B2369" s="1" t="n">
        <v>44694</v>
      </c>
      <c r="C2369" s="1" t="n">
        <v>46011</v>
      </c>
      <c r="D2369" t="inlineStr">
        <is>
          <t>VÄSTRA GÖTALANDS LÄN</t>
        </is>
      </c>
      <c r="E2369" t="inlineStr">
        <is>
          <t>ORUST</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33654-2022</t>
        </is>
      </c>
      <c r="B2370" s="1" t="n">
        <v>44789</v>
      </c>
      <c r="C2370" s="1" t="n">
        <v>46011</v>
      </c>
      <c r="D2370" t="inlineStr">
        <is>
          <t>VÄSTRA GÖTALANDS LÄN</t>
        </is>
      </c>
      <c r="E2370" t="inlineStr">
        <is>
          <t>LIDKÖPING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9273-2022</t>
        </is>
      </c>
      <c r="B2371" s="1" t="n">
        <v>44616</v>
      </c>
      <c r="C2371" s="1" t="n">
        <v>46011</v>
      </c>
      <c r="D2371" t="inlineStr">
        <is>
          <t>VÄSTRA GÖTALANDS LÄN</t>
        </is>
      </c>
      <c r="E2371" t="inlineStr">
        <is>
          <t>STENUNGSUND</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53197-2022</t>
        </is>
      </c>
      <c r="B2372" s="1" t="n">
        <v>44876.589375</v>
      </c>
      <c r="C2372" s="1" t="n">
        <v>46011</v>
      </c>
      <c r="D2372" t="inlineStr">
        <is>
          <t>VÄSTRA GÖTALANDS LÄN</t>
        </is>
      </c>
      <c r="E2372" t="inlineStr">
        <is>
          <t>BENGTSFORS</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29078-2021</t>
        </is>
      </c>
      <c r="B2373" s="1" t="n">
        <v>44358.5559375</v>
      </c>
      <c r="C2373" s="1" t="n">
        <v>46011</v>
      </c>
      <c r="D2373" t="inlineStr">
        <is>
          <t>VÄSTRA GÖTALANDS LÄN</t>
        </is>
      </c>
      <c r="E2373" t="inlineStr">
        <is>
          <t>MUNKEDAL</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7933-2022</t>
        </is>
      </c>
      <c r="B2374" s="1" t="n">
        <v>44608</v>
      </c>
      <c r="C2374" s="1" t="n">
        <v>46011</v>
      </c>
      <c r="D2374" t="inlineStr">
        <is>
          <t>VÄSTRA GÖTALANDS LÄN</t>
        </is>
      </c>
      <c r="E2374" t="inlineStr">
        <is>
          <t>DALS-ED</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27858-2021</t>
        </is>
      </c>
      <c r="B2375" s="1" t="n">
        <v>44354.61337962963</v>
      </c>
      <c r="C2375" s="1" t="n">
        <v>46011</v>
      </c>
      <c r="D2375" t="inlineStr">
        <is>
          <t>VÄSTRA GÖTALANDS LÄN</t>
        </is>
      </c>
      <c r="E2375" t="inlineStr">
        <is>
          <t>MARIESTAD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46067-2021</t>
        </is>
      </c>
      <c r="B2376" s="1" t="n">
        <v>44442.30737268519</v>
      </c>
      <c r="C2376" s="1" t="n">
        <v>46011</v>
      </c>
      <c r="D2376" t="inlineStr">
        <is>
          <t>VÄSTRA GÖTALANDS LÄN</t>
        </is>
      </c>
      <c r="E2376" t="inlineStr">
        <is>
          <t>GÖTENE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23819-2022</t>
        </is>
      </c>
      <c r="B2377" s="1" t="n">
        <v>44722</v>
      </c>
      <c r="C2377" s="1" t="n">
        <v>46011</v>
      </c>
      <c r="D2377" t="inlineStr">
        <is>
          <t>VÄSTRA GÖTALANDS LÄN</t>
        </is>
      </c>
      <c r="E2377" t="inlineStr">
        <is>
          <t>STRÖMSTAD</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35770-2022</t>
        </is>
      </c>
      <c r="B2378" s="1" t="n">
        <v>44800.77560185185</v>
      </c>
      <c r="C2378" s="1" t="n">
        <v>46011</v>
      </c>
      <c r="D2378" t="inlineStr">
        <is>
          <t>VÄSTRA GÖTALANDS LÄN</t>
        </is>
      </c>
      <c r="E2378" t="inlineStr">
        <is>
          <t>TRANEMO</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20412-2022</t>
        </is>
      </c>
      <c r="B2379" s="1" t="n">
        <v>44699</v>
      </c>
      <c r="C2379" s="1" t="n">
        <v>46011</v>
      </c>
      <c r="D2379" t="inlineStr">
        <is>
          <t>VÄSTRA GÖTALANDS LÄN</t>
        </is>
      </c>
      <c r="E2379" t="inlineStr">
        <is>
          <t>MARK</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53822-2022</t>
        </is>
      </c>
      <c r="B2380" s="1" t="n">
        <v>44880</v>
      </c>
      <c r="C2380" s="1" t="n">
        <v>46011</v>
      </c>
      <c r="D2380" t="inlineStr">
        <is>
          <t>VÄSTRA GÖTALANDS LÄN</t>
        </is>
      </c>
      <c r="E2380" t="inlineStr">
        <is>
          <t>MARIESTAD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23877-2022</t>
        </is>
      </c>
      <c r="B2381" s="1" t="n">
        <v>44722.56074074074</v>
      </c>
      <c r="C2381" s="1" t="n">
        <v>46011</v>
      </c>
      <c r="D2381" t="inlineStr">
        <is>
          <t>VÄSTRA GÖTALANDS LÄN</t>
        </is>
      </c>
      <c r="E2381" t="inlineStr">
        <is>
          <t>MÖLNDAL</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65341-2021</t>
        </is>
      </c>
      <c r="B2382" s="1" t="n">
        <v>44515.64600694444</v>
      </c>
      <c r="C2382" s="1" t="n">
        <v>46011</v>
      </c>
      <c r="D2382" t="inlineStr">
        <is>
          <t>VÄSTRA GÖTALANDS LÄN</t>
        </is>
      </c>
      <c r="E2382" t="inlineStr">
        <is>
          <t>LIDKÖPING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34056-2021</t>
        </is>
      </c>
      <c r="B2383" s="1" t="n">
        <v>44379</v>
      </c>
      <c r="C2383" s="1" t="n">
        <v>46011</v>
      </c>
      <c r="D2383" t="inlineStr">
        <is>
          <t>VÄSTRA GÖTALANDS LÄN</t>
        </is>
      </c>
      <c r="E2383" t="inlineStr">
        <is>
          <t>BENGTSFORS</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30157-2022</t>
        </is>
      </c>
      <c r="B2384" s="1" t="n">
        <v>44757</v>
      </c>
      <c r="C2384" s="1" t="n">
        <v>46011</v>
      </c>
      <c r="D2384" t="inlineStr">
        <is>
          <t>VÄSTRA GÖTALANDS LÄN</t>
        </is>
      </c>
      <c r="E2384" t="inlineStr">
        <is>
          <t>TROLLHÄTTAN</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26333-2022</t>
        </is>
      </c>
      <c r="B2385" s="1" t="n">
        <v>44735</v>
      </c>
      <c r="C2385" s="1" t="n">
        <v>46011</v>
      </c>
      <c r="D2385" t="inlineStr">
        <is>
          <t>VÄSTRA GÖTALANDS LÄN</t>
        </is>
      </c>
      <c r="E2385" t="inlineStr">
        <is>
          <t>GULLSPÅNG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24093-2022</t>
        </is>
      </c>
      <c r="B2386" s="1" t="n">
        <v>44725</v>
      </c>
      <c r="C2386" s="1" t="n">
        <v>46011</v>
      </c>
      <c r="D2386" t="inlineStr">
        <is>
          <t>VÄSTRA GÖTALANDS LÄN</t>
        </is>
      </c>
      <c r="E2386" t="inlineStr">
        <is>
          <t>TANUM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25043-2022</t>
        </is>
      </c>
      <c r="B2387" s="1" t="n">
        <v>44729</v>
      </c>
      <c r="C2387" s="1" t="n">
        <v>46011</v>
      </c>
      <c r="D2387" t="inlineStr">
        <is>
          <t>VÄSTRA GÖTALANDS LÄN</t>
        </is>
      </c>
      <c r="E2387" t="inlineStr">
        <is>
          <t>FALKÖPING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21086-2022</t>
        </is>
      </c>
      <c r="B2388" s="1" t="n">
        <v>44704.53608796297</v>
      </c>
      <c r="C2388" s="1" t="n">
        <v>46011</v>
      </c>
      <c r="D2388" t="inlineStr">
        <is>
          <t>VÄSTRA GÖTALANDS LÄN</t>
        </is>
      </c>
      <c r="E2388" t="inlineStr">
        <is>
          <t>VARA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67472-2021</t>
        </is>
      </c>
      <c r="B2389" s="1" t="n">
        <v>44524.42733796296</v>
      </c>
      <c r="C2389" s="1" t="n">
        <v>46011</v>
      </c>
      <c r="D2389" t="inlineStr">
        <is>
          <t>VÄSTRA GÖTALANDS LÄN</t>
        </is>
      </c>
      <c r="E2389" t="inlineStr">
        <is>
          <t>SVENLJUNGA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23018-2022</t>
        </is>
      </c>
      <c r="B2390" s="1" t="n">
        <v>44719.37288194444</v>
      </c>
      <c r="C2390" s="1" t="n">
        <v>46011</v>
      </c>
      <c r="D2390" t="inlineStr">
        <is>
          <t>VÄSTRA GÖTALANDS LÄN</t>
        </is>
      </c>
      <c r="E2390" t="inlineStr">
        <is>
          <t>TÖREBODA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57846-2021</t>
        </is>
      </c>
      <c r="B2391" s="1" t="n">
        <v>44484.82210648148</v>
      </c>
      <c r="C2391" s="1" t="n">
        <v>46011</v>
      </c>
      <c r="D2391" t="inlineStr">
        <is>
          <t>VÄSTRA GÖTALANDS LÄN</t>
        </is>
      </c>
      <c r="E2391" t="inlineStr">
        <is>
          <t>TANUM</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66823-2021</t>
        </is>
      </c>
      <c r="B2392" s="1" t="n">
        <v>44522.40318287037</v>
      </c>
      <c r="C2392" s="1" t="n">
        <v>46011</v>
      </c>
      <c r="D2392" t="inlineStr">
        <is>
          <t>VÄSTRA GÖTALANDS LÄN</t>
        </is>
      </c>
      <c r="E2392" t="inlineStr">
        <is>
          <t>TIDAHOLM</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29371-2022</t>
        </is>
      </c>
      <c r="B2393" s="1" t="n">
        <v>44753.39418981481</v>
      </c>
      <c r="C2393" s="1" t="n">
        <v>46011</v>
      </c>
      <c r="D2393" t="inlineStr">
        <is>
          <t>VÄSTRA GÖTALANDS LÄN</t>
        </is>
      </c>
      <c r="E2393" t="inlineStr">
        <is>
          <t>VÄNERSBORG</t>
        </is>
      </c>
      <c r="F2393" t="inlineStr">
        <is>
          <t>Sveaskog</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35029-2021</t>
        </is>
      </c>
      <c r="B2394" s="1" t="n">
        <v>44383</v>
      </c>
      <c r="C2394" s="1" t="n">
        <v>46011</v>
      </c>
      <c r="D2394" t="inlineStr">
        <is>
          <t>VÄSTRA GÖTALANDS LÄN</t>
        </is>
      </c>
      <c r="E2394" t="inlineStr">
        <is>
          <t>TIDAHOLM</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35148-2021</t>
        </is>
      </c>
      <c r="B2395" s="1" t="n">
        <v>44384</v>
      </c>
      <c r="C2395" s="1" t="n">
        <v>46011</v>
      </c>
      <c r="D2395" t="inlineStr">
        <is>
          <t>VÄSTRA GÖTALANDS LÄN</t>
        </is>
      </c>
      <c r="E2395" t="inlineStr">
        <is>
          <t>ALE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40488-2022</t>
        </is>
      </c>
      <c r="B2396" s="1" t="n">
        <v>44823</v>
      </c>
      <c r="C2396" s="1" t="n">
        <v>46011</v>
      </c>
      <c r="D2396" t="inlineStr">
        <is>
          <t>VÄSTRA GÖTALANDS LÄN</t>
        </is>
      </c>
      <c r="E2396" t="inlineStr">
        <is>
          <t>DALS-ED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69666-2021</t>
        </is>
      </c>
      <c r="B2397" s="1" t="n">
        <v>44532</v>
      </c>
      <c r="C2397" s="1" t="n">
        <v>46011</v>
      </c>
      <c r="D2397" t="inlineStr">
        <is>
          <t>VÄSTRA GÖTALANDS LÄN</t>
        </is>
      </c>
      <c r="E2397" t="inlineStr">
        <is>
          <t>ÅMÅL</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26836-2022</t>
        </is>
      </c>
      <c r="B2398" s="1" t="n">
        <v>44740</v>
      </c>
      <c r="C2398" s="1" t="n">
        <v>46011</v>
      </c>
      <c r="D2398" t="inlineStr">
        <is>
          <t>VÄSTRA GÖTALANDS LÄN</t>
        </is>
      </c>
      <c r="E2398" t="inlineStr">
        <is>
          <t>SKÖVDE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47869-2021</t>
        </is>
      </c>
      <c r="B2399" s="1" t="n">
        <v>44448.68752314815</v>
      </c>
      <c r="C2399" s="1" t="n">
        <v>46011</v>
      </c>
      <c r="D2399" t="inlineStr">
        <is>
          <t>VÄSTRA GÖTALANDS LÄN</t>
        </is>
      </c>
      <c r="E2399" t="inlineStr">
        <is>
          <t>TRANEMO</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47882-2021</t>
        </is>
      </c>
      <c r="B2400" s="1" t="n">
        <v>44448</v>
      </c>
      <c r="C2400" s="1" t="n">
        <v>46011</v>
      </c>
      <c r="D2400" t="inlineStr">
        <is>
          <t>VÄSTRA GÖTALANDS LÄN</t>
        </is>
      </c>
      <c r="E2400" t="inlineStr">
        <is>
          <t>ORUST</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47883-2021</t>
        </is>
      </c>
      <c r="B2401" s="1" t="n">
        <v>44448</v>
      </c>
      <c r="C2401" s="1" t="n">
        <v>46011</v>
      </c>
      <c r="D2401" t="inlineStr">
        <is>
          <t>VÄSTRA GÖTALANDS LÄN</t>
        </is>
      </c>
      <c r="E2401" t="inlineStr">
        <is>
          <t>ORUST</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47896-2021</t>
        </is>
      </c>
      <c r="B2402" s="1" t="n">
        <v>44448</v>
      </c>
      <c r="C2402" s="1" t="n">
        <v>46011</v>
      </c>
      <c r="D2402" t="inlineStr">
        <is>
          <t>VÄSTRA GÖTALANDS LÄN</t>
        </is>
      </c>
      <c r="E2402" t="inlineStr">
        <is>
          <t>VARA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32542-2022</t>
        </is>
      </c>
      <c r="B2403" s="1" t="n">
        <v>44783.32818287037</v>
      </c>
      <c r="C2403" s="1" t="n">
        <v>46011</v>
      </c>
      <c r="D2403" t="inlineStr">
        <is>
          <t>VÄSTRA GÖTALANDS LÄN</t>
        </is>
      </c>
      <c r="E2403" t="inlineStr">
        <is>
          <t>FALKÖPING</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29101-2022</t>
        </is>
      </c>
      <c r="B2404" s="1" t="n">
        <v>44750.41521990741</v>
      </c>
      <c r="C2404" s="1" t="n">
        <v>46011</v>
      </c>
      <c r="D2404" t="inlineStr">
        <is>
          <t>VÄSTRA GÖTALANDS LÄN</t>
        </is>
      </c>
      <c r="E2404" t="inlineStr">
        <is>
          <t>LERUM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25508-2022</t>
        </is>
      </c>
      <c r="B2405" s="1" t="n">
        <v>44732.57942129629</v>
      </c>
      <c r="C2405" s="1" t="n">
        <v>46011</v>
      </c>
      <c r="D2405" t="inlineStr">
        <is>
          <t>VÄSTRA GÖTALANDS LÄN</t>
        </is>
      </c>
      <c r="E2405" t="inlineStr">
        <is>
          <t>TRANEMO</t>
        </is>
      </c>
      <c r="F2405" t="inlineStr">
        <is>
          <t>Kommuner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73609-2021</t>
        </is>
      </c>
      <c r="B2406" s="1" t="n">
        <v>44552</v>
      </c>
      <c r="C2406" s="1" t="n">
        <v>46011</v>
      </c>
      <c r="D2406" t="inlineStr">
        <is>
          <t>VÄSTRA GÖTALANDS LÄN</t>
        </is>
      </c>
      <c r="E2406" t="inlineStr">
        <is>
          <t>GULLSPÅNG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34465-2022</t>
        </is>
      </c>
      <c r="B2407" s="1" t="n">
        <v>44792</v>
      </c>
      <c r="C2407" s="1" t="n">
        <v>46011</v>
      </c>
      <c r="D2407" t="inlineStr">
        <is>
          <t>VÄSTRA GÖTALANDS LÄN</t>
        </is>
      </c>
      <c r="E2407" t="inlineStr">
        <is>
          <t>SVENLJUNGA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18459-2022</t>
        </is>
      </c>
      <c r="B2408" s="1" t="n">
        <v>44686</v>
      </c>
      <c r="C2408" s="1" t="n">
        <v>46011</v>
      </c>
      <c r="D2408" t="inlineStr">
        <is>
          <t>VÄSTRA GÖTALANDS LÄN</t>
        </is>
      </c>
      <c r="E2408" t="inlineStr">
        <is>
          <t>FÄRGELANDA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34284-2022</t>
        </is>
      </c>
      <c r="B2409" s="1" t="n">
        <v>44792</v>
      </c>
      <c r="C2409" s="1" t="n">
        <v>46011</v>
      </c>
      <c r="D2409" t="inlineStr">
        <is>
          <t>VÄSTRA GÖTALANDS LÄN</t>
        </is>
      </c>
      <c r="E2409" t="inlineStr">
        <is>
          <t>MARK</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61042-2021</t>
        </is>
      </c>
      <c r="B2410" s="1" t="n">
        <v>44497</v>
      </c>
      <c r="C2410" s="1" t="n">
        <v>46011</v>
      </c>
      <c r="D2410" t="inlineStr">
        <is>
          <t>VÄSTRA GÖTALANDS LÄN</t>
        </is>
      </c>
      <c r="E2410" t="inlineStr">
        <is>
          <t>VÄNERSBORG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60987-2021</t>
        </is>
      </c>
      <c r="B2411" s="1" t="n">
        <v>44497</v>
      </c>
      <c r="C2411" s="1" t="n">
        <v>46011</v>
      </c>
      <c r="D2411" t="inlineStr">
        <is>
          <t>VÄSTRA GÖTALANDS LÄN</t>
        </is>
      </c>
      <c r="E2411" t="inlineStr">
        <is>
          <t>VÄNERSBORG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3656-2021</t>
        </is>
      </c>
      <c r="B2412" s="1" t="n">
        <v>44221</v>
      </c>
      <c r="C2412" s="1" t="n">
        <v>46011</v>
      </c>
      <c r="D2412" t="inlineStr">
        <is>
          <t>VÄSTRA GÖTALANDS LÄN</t>
        </is>
      </c>
      <c r="E2412" t="inlineStr">
        <is>
          <t>TÖREBODA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17742-2021</t>
        </is>
      </c>
      <c r="B2413" s="1" t="n">
        <v>44299</v>
      </c>
      <c r="C2413" s="1" t="n">
        <v>46011</v>
      </c>
      <c r="D2413" t="inlineStr">
        <is>
          <t>VÄSTRA GÖTALANDS LÄN</t>
        </is>
      </c>
      <c r="E2413" t="inlineStr">
        <is>
          <t>VARA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35102-2022</t>
        </is>
      </c>
      <c r="B2414" s="1" t="n">
        <v>44797.4324537037</v>
      </c>
      <c r="C2414" s="1" t="n">
        <v>46011</v>
      </c>
      <c r="D2414" t="inlineStr">
        <is>
          <t>VÄSTRA GÖTALANDS LÄN</t>
        </is>
      </c>
      <c r="E2414" t="inlineStr">
        <is>
          <t>SVENLJUNGA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50650-2021</t>
        </is>
      </c>
      <c r="B2415" s="1" t="n">
        <v>44459</v>
      </c>
      <c r="C2415" s="1" t="n">
        <v>46011</v>
      </c>
      <c r="D2415" t="inlineStr">
        <is>
          <t>VÄSTRA GÖTALANDS LÄN</t>
        </is>
      </c>
      <c r="E2415" t="inlineStr">
        <is>
          <t>MUNKEDAL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50699-2021</t>
        </is>
      </c>
      <c r="B2416" s="1" t="n">
        <v>44460.36069444445</v>
      </c>
      <c r="C2416" s="1" t="n">
        <v>46011</v>
      </c>
      <c r="D2416" t="inlineStr">
        <is>
          <t>VÄSTRA GÖTALANDS LÄN</t>
        </is>
      </c>
      <c r="E2416" t="inlineStr">
        <is>
          <t>VARA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50702-2021</t>
        </is>
      </c>
      <c r="B2417" s="1" t="n">
        <v>44460</v>
      </c>
      <c r="C2417" s="1" t="n">
        <v>46011</v>
      </c>
      <c r="D2417" t="inlineStr">
        <is>
          <t>VÄSTRA GÖTALANDS LÄN</t>
        </is>
      </c>
      <c r="E2417" t="inlineStr">
        <is>
          <t>VARA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6993-2021</t>
        </is>
      </c>
      <c r="B2418" s="1" t="n">
        <v>44237</v>
      </c>
      <c r="C2418" s="1" t="n">
        <v>46011</v>
      </c>
      <c r="D2418" t="inlineStr">
        <is>
          <t>VÄSTRA GÖTALANDS LÄN</t>
        </is>
      </c>
      <c r="E2418" t="inlineStr">
        <is>
          <t>GÖTENE</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7055-2021</t>
        </is>
      </c>
      <c r="B2419" s="1" t="n">
        <v>44237</v>
      </c>
      <c r="C2419" s="1" t="n">
        <v>46011</v>
      </c>
      <c r="D2419" t="inlineStr">
        <is>
          <t>VÄSTRA GÖTALANDS LÄN</t>
        </is>
      </c>
      <c r="E2419" t="inlineStr">
        <is>
          <t>ULRICEHAMN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6910-2021</t>
        </is>
      </c>
      <c r="B2420" s="1" t="n">
        <v>44237.48460648148</v>
      </c>
      <c r="C2420" s="1" t="n">
        <v>46011</v>
      </c>
      <c r="D2420" t="inlineStr">
        <is>
          <t>VÄSTRA GÖTALANDS LÄN</t>
        </is>
      </c>
      <c r="E2420" t="inlineStr">
        <is>
          <t>HERRLJUNGA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51966-2022</t>
        </is>
      </c>
      <c r="B2421" s="1" t="n">
        <v>44872.68400462963</v>
      </c>
      <c r="C2421" s="1" t="n">
        <v>46011</v>
      </c>
      <c r="D2421" t="inlineStr">
        <is>
          <t>VÄSTRA GÖTALANDS LÄN</t>
        </is>
      </c>
      <c r="E2421" t="inlineStr">
        <is>
          <t>TRANEMO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33675-2022</t>
        </is>
      </c>
      <c r="B2422" s="1" t="n">
        <v>44789.64864583333</v>
      </c>
      <c r="C2422" s="1" t="n">
        <v>46011</v>
      </c>
      <c r="D2422" t="inlineStr">
        <is>
          <t>VÄSTRA GÖTALANDS LÄN</t>
        </is>
      </c>
      <c r="E2422" t="inlineStr">
        <is>
          <t>SVENLJUNGA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9790-2021</t>
        </is>
      </c>
      <c r="B2423" s="1" t="n">
        <v>44251</v>
      </c>
      <c r="C2423" s="1" t="n">
        <v>46011</v>
      </c>
      <c r="D2423" t="inlineStr">
        <is>
          <t>VÄSTRA GÖTALANDS LÄN</t>
        </is>
      </c>
      <c r="E2423" t="inlineStr">
        <is>
          <t>UDDEVALLA</t>
        </is>
      </c>
      <c r="F2423" t="inlineStr">
        <is>
          <t>Kommuner</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9811-2021</t>
        </is>
      </c>
      <c r="B2424" s="1" t="n">
        <v>44252</v>
      </c>
      <c r="C2424" s="1" t="n">
        <v>46011</v>
      </c>
      <c r="D2424" t="inlineStr">
        <is>
          <t>VÄSTRA GÖTALANDS LÄN</t>
        </is>
      </c>
      <c r="E2424" t="inlineStr">
        <is>
          <t>MARK</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18394-2022</t>
        </is>
      </c>
      <c r="B2425" s="1" t="n">
        <v>44686.32553240741</v>
      </c>
      <c r="C2425" s="1" t="n">
        <v>46011</v>
      </c>
      <c r="D2425" t="inlineStr">
        <is>
          <t>VÄSTRA GÖTALANDS LÄN</t>
        </is>
      </c>
      <c r="E2425" t="inlineStr">
        <is>
          <t>ESSUNGA</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10977-2022</t>
        </is>
      </c>
      <c r="B2426" s="1" t="n">
        <v>44628.43050925926</v>
      </c>
      <c r="C2426" s="1" t="n">
        <v>46011</v>
      </c>
      <c r="D2426" t="inlineStr">
        <is>
          <t>VÄSTRA GÖTALANDS LÄN</t>
        </is>
      </c>
      <c r="E2426" t="inlineStr">
        <is>
          <t>VÄNERSBORG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2769-2022</t>
        </is>
      </c>
      <c r="B2427" s="1" t="n">
        <v>44581.30111111111</v>
      </c>
      <c r="C2427" s="1" t="n">
        <v>46011</v>
      </c>
      <c r="D2427" t="inlineStr">
        <is>
          <t>VÄSTRA GÖTALANDS LÄN</t>
        </is>
      </c>
      <c r="E2427" t="inlineStr">
        <is>
          <t>MARIESTAD</t>
        </is>
      </c>
      <c r="F2427" t="inlineStr">
        <is>
          <t>Sveaskog</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2824-2022</t>
        </is>
      </c>
      <c r="B2428" s="1" t="n">
        <v>44581.42015046296</v>
      </c>
      <c r="C2428" s="1" t="n">
        <v>46011</v>
      </c>
      <c r="D2428" t="inlineStr">
        <is>
          <t>VÄSTRA GÖTALANDS LÄN</t>
        </is>
      </c>
      <c r="E2428" t="inlineStr">
        <is>
          <t>HERRLJUNGA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69092-2021</t>
        </is>
      </c>
      <c r="B2429" s="1" t="n">
        <v>44530</v>
      </c>
      <c r="C2429" s="1" t="n">
        <v>46011</v>
      </c>
      <c r="D2429" t="inlineStr">
        <is>
          <t>VÄSTRA GÖTALANDS LÄN</t>
        </is>
      </c>
      <c r="E2429" t="inlineStr">
        <is>
          <t>SVENLJUNGA</t>
        </is>
      </c>
      <c r="F2429" t="inlineStr">
        <is>
          <t>Kommuner</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32014-2021</t>
        </is>
      </c>
      <c r="B2430" s="1" t="n">
        <v>44370.63486111111</v>
      </c>
      <c r="C2430" s="1" t="n">
        <v>46011</v>
      </c>
      <c r="D2430" t="inlineStr">
        <is>
          <t>VÄSTRA GÖTALANDS LÄN</t>
        </is>
      </c>
      <c r="E2430" t="inlineStr">
        <is>
          <t>BOLLEBYGD</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69119-2021</t>
        </is>
      </c>
      <c r="B2431" s="1" t="n">
        <v>44530.87890046297</v>
      </c>
      <c r="C2431" s="1" t="n">
        <v>46011</v>
      </c>
      <c r="D2431" t="inlineStr">
        <is>
          <t>VÄSTRA GÖTALANDS LÄN</t>
        </is>
      </c>
      <c r="E2431" t="inlineStr">
        <is>
          <t>SKÖVDE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46752-2022</t>
        </is>
      </c>
      <c r="B2432" s="1" t="n">
        <v>44847</v>
      </c>
      <c r="C2432" s="1" t="n">
        <v>46011</v>
      </c>
      <c r="D2432" t="inlineStr">
        <is>
          <t>VÄSTRA GÖTALANDS LÄN</t>
        </is>
      </c>
      <c r="E2432" t="inlineStr">
        <is>
          <t>TÖREBODA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46759-2022</t>
        </is>
      </c>
      <c r="B2433" s="1" t="n">
        <v>44847</v>
      </c>
      <c r="C2433" s="1" t="n">
        <v>46011</v>
      </c>
      <c r="D2433" t="inlineStr">
        <is>
          <t>VÄSTRA GÖTALANDS LÄN</t>
        </is>
      </c>
      <c r="E2433" t="inlineStr">
        <is>
          <t>TÖREBODA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73942-2021</t>
        </is>
      </c>
      <c r="B2434" s="1" t="n">
        <v>44552</v>
      </c>
      <c r="C2434" s="1" t="n">
        <v>46011</v>
      </c>
      <c r="D2434" t="inlineStr">
        <is>
          <t>VÄSTRA GÖTALANDS LÄN</t>
        </is>
      </c>
      <c r="E2434" t="inlineStr">
        <is>
          <t>MARK</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33836-2021</t>
        </is>
      </c>
      <c r="B2435" s="1" t="n">
        <v>44378</v>
      </c>
      <c r="C2435" s="1" t="n">
        <v>46011</v>
      </c>
      <c r="D2435" t="inlineStr">
        <is>
          <t>VÄSTRA GÖTALANDS LÄN</t>
        </is>
      </c>
      <c r="E2435" t="inlineStr">
        <is>
          <t>VARA</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22047-2021</t>
        </is>
      </c>
      <c r="B2436" s="1" t="n">
        <v>44323</v>
      </c>
      <c r="C2436" s="1" t="n">
        <v>46011</v>
      </c>
      <c r="D2436" t="inlineStr">
        <is>
          <t>VÄSTRA GÖTALANDS LÄN</t>
        </is>
      </c>
      <c r="E2436" t="inlineStr">
        <is>
          <t>BORÅS</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19767-2021</t>
        </is>
      </c>
      <c r="B2437" s="1" t="n">
        <v>44309</v>
      </c>
      <c r="C2437" s="1" t="n">
        <v>46011</v>
      </c>
      <c r="D2437" t="inlineStr">
        <is>
          <t>VÄSTRA GÖTALANDS LÄN</t>
        </is>
      </c>
      <c r="E2437" t="inlineStr">
        <is>
          <t>BENGTSFORS</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25975-2021</t>
        </is>
      </c>
      <c r="B2438" s="1" t="n">
        <v>44344</v>
      </c>
      <c r="C2438" s="1" t="n">
        <v>46011</v>
      </c>
      <c r="D2438" t="inlineStr">
        <is>
          <t>VÄSTRA GÖTALANDS LÄN</t>
        </is>
      </c>
      <c r="E2438" t="inlineStr">
        <is>
          <t>TANUM</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1592-2022</t>
        </is>
      </c>
      <c r="B2439" s="1" t="n">
        <v>44573.67560185185</v>
      </c>
      <c r="C2439" s="1" t="n">
        <v>46011</v>
      </c>
      <c r="D2439" t="inlineStr">
        <is>
          <t>VÄSTRA GÖTALANDS LÄN</t>
        </is>
      </c>
      <c r="E2439" t="inlineStr">
        <is>
          <t>BENGTSFORS</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43723-2021</t>
        </is>
      </c>
      <c r="B2440" s="1" t="n">
        <v>44433.63059027777</v>
      </c>
      <c r="C2440" s="1" t="n">
        <v>46011</v>
      </c>
      <c r="D2440" t="inlineStr">
        <is>
          <t>VÄSTRA GÖTALANDS LÄN</t>
        </is>
      </c>
      <c r="E2440" t="inlineStr">
        <is>
          <t>SVENLJUNGA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1156-2022</t>
        </is>
      </c>
      <c r="B2441" s="1" t="n">
        <v>44572</v>
      </c>
      <c r="C2441" s="1" t="n">
        <v>46011</v>
      </c>
      <c r="D2441" t="inlineStr">
        <is>
          <t>VÄSTRA GÖTALANDS LÄN</t>
        </is>
      </c>
      <c r="E2441" t="inlineStr">
        <is>
          <t>UDDEVALLA</t>
        </is>
      </c>
      <c r="F2441" t="inlineStr">
        <is>
          <t>Kommuner</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33117-2022</t>
        </is>
      </c>
      <c r="B2442" s="1" t="n">
        <v>44785.52291666667</v>
      </c>
      <c r="C2442" s="1" t="n">
        <v>46011</v>
      </c>
      <c r="D2442" t="inlineStr">
        <is>
          <t>VÄSTRA GÖTALANDS LÄN</t>
        </is>
      </c>
      <c r="E2442" t="inlineStr">
        <is>
          <t>KARLSBORG</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35320-2021</t>
        </is>
      </c>
      <c r="B2443" s="1" t="n">
        <v>44384.73966435185</v>
      </c>
      <c r="C2443" s="1" t="n">
        <v>46011</v>
      </c>
      <c r="D2443" t="inlineStr">
        <is>
          <t>VÄSTRA GÖTALANDS LÄN</t>
        </is>
      </c>
      <c r="E2443" t="inlineStr">
        <is>
          <t>STRÖMSTAD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50783-2021</t>
        </is>
      </c>
      <c r="B2444" s="1" t="n">
        <v>44456</v>
      </c>
      <c r="C2444" s="1" t="n">
        <v>46011</v>
      </c>
      <c r="D2444" t="inlineStr">
        <is>
          <t>VÄSTRA GÖTALANDS LÄN</t>
        </is>
      </c>
      <c r="E2444" t="inlineStr">
        <is>
          <t>HJO</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49047-2022</t>
        </is>
      </c>
      <c r="B2445" s="1" t="n">
        <v>44858</v>
      </c>
      <c r="C2445" s="1" t="n">
        <v>46011</v>
      </c>
      <c r="D2445" t="inlineStr">
        <is>
          <t>VÄSTRA GÖTALANDS LÄN</t>
        </is>
      </c>
      <c r="E2445" t="inlineStr">
        <is>
          <t>VARA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45062-2021</t>
        </is>
      </c>
      <c r="B2446" s="1" t="n">
        <v>44439.35600694444</v>
      </c>
      <c r="C2446" s="1" t="n">
        <v>46011</v>
      </c>
      <c r="D2446" t="inlineStr">
        <is>
          <t>VÄSTRA GÖTALANDS LÄN</t>
        </is>
      </c>
      <c r="E2446" t="inlineStr">
        <is>
          <t>GULLSPÅNG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61207-2021</t>
        </is>
      </c>
      <c r="B2447" s="1" t="n">
        <v>44498</v>
      </c>
      <c r="C2447" s="1" t="n">
        <v>46011</v>
      </c>
      <c r="D2447" t="inlineStr">
        <is>
          <t>VÄSTRA GÖTALANDS LÄN</t>
        </is>
      </c>
      <c r="E2447" t="inlineStr">
        <is>
          <t>ÅMÅL</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45729-2021</t>
        </is>
      </c>
      <c r="B2448" s="1" t="n">
        <v>44441</v>
      </c>
      <c r="C2448" s="1" t="n">
        <v>46011</v>
      </c>
      <c r="D2448" t="inlineStr">
        <is>
          <t>VÄSTRA GÖTALANDS LÄN</t>
        </is>
      </c>
      <c r="E2448" t="inlineStr">
        <is>
          <t>ORUST</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45001-2021</t>
        </is>
      </c>
      <c r="B2449" s="1" t="n">
        <v>44438.91945601852</v>
      </c>
      <c r="C2449" s="1" t="n">
        <v>46011</v>
      </c>
      <c r="D2449" t="inlineStr">
        <is>
          <t>VÄSTRA GÖTALANDS LÄN</t>
        </is>
      </c>
      <c r="E2449" t="inlineStr">
        <is>
          <t>LIDKÖPING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55624-2022</t>
        </is>
      </c>
      <c r="B2450" s="1" t="n">
        <v>44883</v>
      </c>
      <c r="C2450" s="1" t="n">
        <v>46011</v>
      </c>
      <c r="D2450" t="inlineStr">
        <is>
          <t>VÄSTRA GÖTALANDS LÄN</t>
        </is>
      </c>
      <c r="E2450" t="inlineStr">
        <is>
          <t>GULLSPÅNG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54719-2021</t>
        </is>
      </c>
      <c r="B2451" s="1" t="n">
        <v>44473.77486111111</v>
      </c>
      <c r="C2451" s="1" t="n">
        <v>46011</v>
      </c>
      <c r="D2451" t="inlineStr">
        <is>
          <t>VÄSTRA GÖTALANDS LÄN</t>
        </is>
      </c>
      <c r="E2451" t="inlineStr">
        <is>
          <t>MARK</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43934-2022</t>
        </is>
      </c>
      <c r="B2452" s="1" t="n">
        <v>44838.56086805555</v>
      </c>
      <c r="C2452" s="1" t="n">
        <v>46011</v>
      </c>
      <c r="D2452" t="inlineStr">
        <is>
          <t>VÄSTRA GÖTALANDS LÄN</t>
        </is>
      </c>
      <c r="E2452" t="inlineStr">
        <is>
          <t>HERRLJUNGA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63214-2021</t>
        </is>
      </c>
      <c r="B2453" s="1" t="n">
        <v>44505</v>
      </c>
      <c r="C2453" s="1" t="n">
        <v>46011</v>
      </c>
      <c r="D2453" t="inlineStr">
        <is>
          <t>VÄSTRA GÖTALANDS LÄN</t>
        </is>
      </c>
      <c r="E2453" t="inlineStr">
        <is>
          <t>ÅMÅL</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15415-2022</t>
        </is>
      </c>
      <c r="B2454" s="1" t="n">
        <v>44659</v>
      </c>
      <c r="C2454" s="1" t="n">
        <v>46011</v>
      </c>
      <c r="D2454" t="inlineStr">
        <is>
          <t>VÄSTRA GÖTALANDS LÄN</t>
        </is>
      </c>
      <c r="E2454" t="inlineStr">
        <is>
          <t>SKARA</t>
        </is>
      </c>
      <c r="F2454" t="inlineStr">
        <is>
          <t>Kommuner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44893-2021</t>
        </is>
      </c>
      <c r="B2455" s="1" t="n">
        <v>44438</v>
      </c>
      <c r="C2455" s="1" t="n">
        <v>46011</v>
      </c>
      <c r="D2455" t="inlineStr">
        <is>
          <t>VÄSTRA GÖTALANDS LÄN</t>
        </is>
      </c>
      <c r="E2455" t="inlineStr">
        <is>
          <t>MUNKEDAL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47877-2021</t>
        </is>
      </c>
      <c r="B2456" s="1" t="n">
        <v>44448</v>
      </c>
      <c r="C2456" s="1" t="n">
        <v>46011</v>
      </c>
      <c r="D2456" t="inlineStr">
        <is>
          <t>VÄSTRA GÖTALANDS LÄN</t>
        </is>
      </c>
      <c r="E2456" t="inlineStr">
        <is>
          <t>ORUST</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12726-2022</t>
        </is>
      </c>
      <c r="B2457" s="1" t="n">
        <v>44641</v>
      </c>
      <c r="C2457" s="1" t="n">
        <v>46011</v>
      </c>
      <c r="D2457" t="inlineStr">
        <is>
          <t>VÄSTRA GÖTALANDS LÄN</t>
        </is>
      </c>
      <c r="E2457" t="inlineStr">
        <is>
          <t>HJO</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38195-2022</t>
        </is>
      </c>
      <c r="B2458" s="1" t="n">
        <v>44812.42858796296</v>
      </c>
      <c r="C2458" s="1" t="n">
        <v>46011</v>
      </c>
      <c r="D2458" t="inlineStr">
        <is>
          <t>VÄSTRA GÖTALANDS LÄN</t>
        </is>
      </c>
      <c r="E2458" t="inlineStr">
        <is>
          <t>GÖTENE</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8921-2022</t>
        </is>
      </c>
      <c r="B2459" s="1" t="n">
        <v>44614</v>
      </c>
      <c r="C2459" s="1" t="n">
        <v>46011</v>
      </c>
      <c r="D2459" t="inlineStr">
        <is>
          <t>VÄSTRA GÖTALANDS LÄN</t>
        </is>
      </c>
      <c r="E2459" t="inlineStr">
        <is>
          <t>TÖREBODA</t>
        </is>
      </c>
      <c r="F2459" t="inlineStr">
        <is>
          <t>Kyrkan</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51645-2021</t>
        </is>
      </c>
      <c r="B2460" s="1" t="n">
        <v>44462.49716435185</v>
      </c>
      <c r="C2460" s="1" t="n">
        <v>46011</v>
      </c>
      <c r="D2460" t="inlineStr">
        <is>
          <t>VÄSTRA GÖTALANDS LÄN</t>
        </is>
      </c>
      <c r="E2460" t="inlineStr">
        <is>
          <t>SVENLJUNGA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16707-2022</t>
        </is>
      </c>
      <c r="B2461" s="1" t="n">
        <v>44673.38596064815</v>
      </c>
      <c r="C2461" s="1" t="n">
        <v>46011</v>
      </c>
      <c r="D2461" t="inlineStr">
        <is>
          <t>VÄSTRA GÖTALANDS LÄN</t>
        </is>
      </c>
      <c r="E2461" t="inlineStr">
        <is>
          <t>BORÅS</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29188-2022</t>
        </is>
      </c>
      <c r="B2462" s="1" t="n">
        <v>44750</v>
      </c>
      <c r="C2462" s="1" t="n">
        <v>46011</v>
      </c>
      <c r="D2462" t="inlineStr">
        <is>
          <t>VÄSTRA GÖTALANDS LÄN</t>
        </is>
      </c>
      <c r="E2462" t="inlineStr">
        <is>
          <t>FÄRGELANDA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29279-2022</t>
        </is>
      </c>
      <c r="B2463" s="1" t="n">
        <v>44750.74405092592</v>
      </c>
      <c r="C2463" s="1" t="n">
        <v>46011</v>
      </c>
      <c r="D2463" t="inlineStr">
        <is>
          <t>VÄSTRA GÖTALANDS LÄN</t>
        </is>
      </c>
      <c r="E2463" t="inlineStr">
        <is>
          <t>MELLERUD</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43492-2022</t>
        </is>
      </c>
      <c r="B2464" s="1" t="n">
        <v>44837.32274305556</v>
      </c>
      <c r="C2464" s="1" t="n">
        <v>46011</v>
      </c>
      <c r="D2464" t="inlineStr">
        <is>
          <t>VÄSTRA GÖTALANDS LÄN</t>
        </is>
      </c>
      <c r="E2464" t="inlineStr">
        <is>
          <t>DALS-ED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28159-2022</t>
        </is>
      </c>
      <c r="B2465" s="1" t="n">
        <v>44746</v>
      </c>
      <c r="C2465" s="1" t="n">
        <v>46011</v>
      </c>
      <c r="D2465" t="inlineStr">
        <is>
          <t>VÄSTRA GÖTALANDS LÄN</t>
        </is>
      </c>
      <c r="E2465" t="inlineStr">
        <is>
          <t>LYSEKIL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34841-2022</t>
        </is>
      </c>
      <c r="B2466" s="1" t="n">
        <v>44796.3941087963</v>
      </c>
      <c r="C2466" s="1" t="n">
        <v>46011</v>
      </c>
      <c r="D2466" t="inlineStr">
        <is>
          <t>VÄSTRA GÖTALANDS LÄN</t>
        </is>
      </c>
      <c r="E2466" t="inlineStr">
        <is>
          <t>SVENLJUNGA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59062-2021</t>
        </is>
      </c>
      <c r="B2467" s="1" t="n">
        <v>44490.37527777778</v>
      </c>
      <c r="C2467" s="1" t="n">
        <v>46011</v>
      </c>
      <c r="D2467" t="inlineStr">
        <is>
          <t>VÄSTRA GÖTALANDS LÄN</t>
        </is>
      </c>
      <c r="E2467" t="inlineStr">
        <is>
          <t>FÄRGELANDA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50768-2021</t>
        </is>
      </c>
      <c r="B2468" s="1" t="n">
        <v>44456</v>
      </c>
      <c r="C2468" s="1" t="n">
        <v>46011</v>
      </c>
      <c r="D2468" t="inlineStr">
        <is>
          <t>VÄSTRA GÖTALANDS LÄN</t>
        </is>
      </c>
      <c r="E2468" t="inlineStr">
        <is>
          <t>TIDAHOLM</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39181-2022</t>
        </is>
      </c>
      <c r="B2469" s="1" t="n">
        <v>44817</v>
      </c>
      <c r="C2469" s="1" t="n">
        <v>46011</v>
      </c>
      <c r="D2469" t="inlineStr">
        <is>
          <t>VÄSTRA GÖTALANDS LÄN</t>
        </is>
      </c>
      <c r="E2469" t="inlineStr">
        <is>
          <t>TANUM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14993-2022</t>
        </is>
      </c>
      <c r="B2470" s="1" t="n">
        <v>44657</v>
      </c>
      <c r="C2470" s="1" t="n">
        <v>46011</v>
      </c>
      <c r="D2470" t="inlineStr">
        <is>
          <t>VÄSTRA GÖTALANDS LÄN</t>
        </is>
      </c>
      <c r="E2470" t="inlineStr">
        <is>
          <t>DALS-ED</t>
        </is>
      </c>
      <c r="F2470" t="inlineStr">
        <is>
          <t>Kyrkan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62372-2021</t>
        </is>
      </c>
      <c r="B2471" s="1" t="n">
        <v>44503.46638888889</v>
      </c>
      <c r="C2471" s="1" t="n">
        <v>46011</v>
      </c>
      <c r="D2471" t="inlineStr">
        <is>
          <t>VÄSTRA GÖTALANDS LÄN</t>
        </is>
      </c>
      <c r="E2471" t="inlineStr">
        <is>
          <t>FALKÖPING</t>
        </is>
      </c>
      <c r="F2471" t="inlineStr">
        <is>
          <t>Naturvårdsverket</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22023-2022</t>
        </is>
      </c>
      <c r="B2472" s="1" t="n">
        <v>44711</v>
      </c>
      <c r="C2472" s="1" t="n">
        <v>46011</v>
      </c>
      <c r="D2472" t="inlineStr">
        <is>
          <t>VÄSTRA GÖTALANDS LÄN</t>
        </is>
      </c>
      <c r="E2472" t="inlineStr">
        <is>
          <t>FALKÖPING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29486-2022</t>
        </is>
      </c>
      <c r="B2473" s="1" t="n">
        <v>44753</v>
      </c>
      <c r="C2473" s="1" t="n">
        <v>46011</v>
      </c>
      <c r="D2473" t="inlineStr">
        <is>
          <t>VÄSTRA GÖTALANDS LÄN</t>
        </is>
      </c>
      <c r="E2473" t="inlineStr">
        <is>
          <t>BORÅS</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66893-2021</t>
        </is>
      </c>
      <c r="B2474" s="1" t="n">
        <v>44522.49439814815</v>
      </c>
      <c r="C2474" s="1" t="n">
        <v>46011</v>
      </c>
      <c r="D2474" t="inlineStr">
        <is>
          <t>VÄSTRA GÖTALANDS LÄN</t>
        </is>
      </c>
      <c r="E2474" t="inlineStr">
        <is>
          <t>ALE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5390-2021</t>
        </is>
      </c>
      <c r="B2475" s="1" t="n">
        <v>44229</v>
      </c>
      <c r="C2475" s="1" t="n">
        <v>46011</v>
      </c>
      <c r="D2475" t="inlineStr">
        <is>
          <t>VÄSTRA GÖTALANDS LÄN</t>
        </is>
      </c>
      <c r="E2475" t="inlineStr">
        <is>
          <t>TANUM</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5430-2021</t>
        </is>
      </c>
      <c r="B2476" s="1" t="n">
        <v>44229</v>
      </c>
      <c r="C2476" s="1" t="n">
        <v>46011</v>
      </c>
      <c r="D2476" t="inlineStr">
        <is>
          <t>VÄSTRA GÖTALANDS LÄN</t>
        </is>
      </c>
      <c r="E2476" t="inlineStr">
        <is>
          <t>ULRICEHAMN</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1849-2021</t>
        </is>
      </c>
      <c r="B2477" s="1" t="n">
        <v>44210</v>
      </c>
      <c r="C2477" s="1" t="n">
        <v>46011</v>
      </c>
      <c r="D2477" t="inlineStr">
        <is>
          <t>VÄSTRA GÖTALANDS LÄN</t>
        </is>
      </c>
      <c r="E2477" t="inlineStr">
        <is>
          <t>TJÖRN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5483-2021</t>
        </is>
      </c>
      <c r="B2478" s="1" t="n">
        <v>44230</v>
      </c>
      <c r="C2478" s="1" t="n">
        <v>46011</v>
      </c>
      <c r="D2478" t="inlineStr">
        <is>
          <t>VÄSTRA GÖTALANDS LÄN</t>
        </is>
      </c>
      <c r="E2478" t="inlineStr">
        <is>
          <t>UDDEVALLA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71998-2021</t>
        </is>
      </c>
      <c r="B2479" s="1" t="n">
        <v>44544.39546296297</v>
      </c>
      <c r="C2479" s="1" t="n">
        <v>46011</v>
      </c>
      <c r="D2479" t="inlineStr">
        <is>
          <t>VÄSTRA GÖTALANDS LÄN</t>
        </is>
      </c>
      <c r="E2479" t="inlineStr">
        <is>
          <t>BORÅS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68671-2020</t>
        </is>
      </c>
      <c r="B2480" s="1" t="n">
        <v>44187</v>
      </c>
      <c r="C2480" s="1" t="n">
        <v>46011</v>
      </c>
      <c r="D2480" t="inlineStr">
        <is>
          <t>VÄSTRA GÖTALANDS LÄN</t>
        </is>
      </c>
      <c r="E2480" t="inlineStr">
        <is>
          <t>MELLERUD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1074-2021</t>
        </is>
      </c>
      <c r="B2481" s="1" t="n">
        <v>44207</v>
      </c>
      <c r="C2481" s="1" t="n">
        <v>46011</v>
      </c>
      <c r="D2481" t="inlineStr">
        <is>
          <t>VÄSTRA GÖTALANDS LÄN</t>
        </is>
      </c>
      <c r="E2481" t="inlineStr">
        <is>
          <t>GULLSPÅNG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52307-2022</t>
        </is>
      </c>
      <c r="B2482" s="1" t="n">
        <v>44873</v>
      </c>
      <c r="C2482" s="1" t="n">
        <v>46011</v>
      </c>
      <c r="D2482" t="inlineStr">
        <is>
          <t>VÄSTRA GÖTALANDS LÄN</t>
        </is>
      </c>
      <c r="E2482" t="inlineStr">
        <is>
          <t>BORÅS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21460-2022</t>
        </is>
      </c>
      <c r="B2483" s="1" t="n">
        <v>44706</v>
      </c>
      <c r="C2483" s="1" t="n">
        <v>46011</v>
      </c>
      <c r="D2483" t="inlineStr">
        <is>
          <t>VÄSTRA GÖTALANDS LÄN</t>
        </is>
      </c>
      <c r="E2483" t="inlineStr">
        <is>
          <t>SVENLJUNGA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3622-2021</t>
        </is>
      </c>
      <c r="B2484" s="1" t="n">
        <v>44220</v>
      </c>
      <c r="C2484" s="1" t="n">
        <v>46011</v>
      </c>
      <c r="D2484" t="inlineStr">
        <is>
          <t>VÄSTRA GÖTALANDS LÄN</t>
        </is>
      </c>
      <c r="E2484" t="inlineStr">
        <is>
          <t>FALKÖPING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69101-2021</t>
        </is>
      </c>
      <c r="B2485" s="1" t="n">
        <v>44530.70151620371</v>
      </c>
      <c r="C2485" s="1" t="n">
        <v>46011</v>
      </c>
      <c r="D2485" t="inlineStr">
        <is>
          <t>VÄSTRA GÖTALANDS LÄN</t>
        </is>
      </c>
      <c r="E2485" t="inlineStr">
        <is>
          <t>SVENLJUNGA</t>
        </is>
      </c>
      <c r="F2485" t="inlineStr">
        <is>
          <t>Kommuner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54509-2022</t>
        </is>
      </c>
      <c r="B2486" s="1" t="n">
        <v>44882.69835648148</v>
      </c>
      <c r="C2486" s="1" t="n">
        <v>46011</v>
      </c>
      <c r="D2486" t="inlineStr">
        <is>
          <t>VÄSTRA GÖTALANDS LÄN</t>
        </is>
      </c>
      <c r="E2486" t="inlineStr">
        <is>
          <t>TRANEMO</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3325-2021</t>
        </is>
      </c>
      <c r="B2487" s="1" t="n">
        <v>44217</v>
      </c>
      <c r="C2487" s="1" t="n">
        <v>46011</v>
      </c>
      <c r="D2487" t="inlineStr">
        <is>
          <t>VÄSTRA GÖTALANDS LÄN</t>
        </is>
      </c>
      <c r="E2487" t="inlineStr">
        <is>
          <t>MARK</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72213-2021</t>
        </is>
      </c>
      <c r="B2488" s="1" t="n">
        <v>44544.69722222222</v>
      </c>
      <c r="C2488" s="1" t="n">
        <v>46011</v>
      </c>
      <c r="D2488" t="inlineStr">
        <is>
          <t>VÄSTRA GÖTALANDS LÄN</t>
        </is>
      </c>
      <c r="E2488" t="inlineStr">
        <is>
          <t>SKARA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65974-2021</t>
        </is>
      </c>
      <c r="B2489" s="1" t="n">
        <v>44517</v>
      </c>
      <c r="C2489" s="1" t="n">
        <v>46011</v>
      </c>
      <c r="D2489" t="inlineStr">
        <is>
          <t>VÄSTRA GÖTALANDS LÄN</t>
        </is>
      </c>
      <c r="E2489" t="inlineStr">
        <is>
          <t>SVENLJUNGA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8899-2022</t>
        </is>
      </c>
      <c r="B2490" s="1" t="n">
        <v>44614.63824074074</v>
      </c>
      <c r="C2490" s="1" t="n">
        <v>46011</v>
      </c>
      <c r="D2490" t="inlineStr">
        <is>
          <t>VÄSTRA GÖTALANDS LÄN</t>
        </is>
      </c>
      <c r="E2490" t="inlineStr">
        <is>
          <t>UDDEVALLA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8910-2022</t>
        </is>
      </c>
      <c r="B2491" s="1" t="n">
        <v>44614</v>
      </c>
      <c r="C2491" s="1" t="n">
        <v>46011</v>
      </c>
      <c r="D2491" t="inlineStr">
        <is>
          <t>VÄSTRA GÖTALANDS LÄN</t>
        </is>
      </c>
      <c r="E2491" t="inlineStr">
        <is>
          <t>GULLSPÅNG</t>
        </is>
      </c>
      <c r="F2491" t="inlineStr">
        <is>
          <t>Kyrkan</t>
        </is>
      </c>
      <c r="G2491" t="n">
        <v>9.9</v>
      </c>
      <c r="H2491" t="n">
        <v>0</v>
      </c>
      <c r="I2491" t="n">
        <v>0</v>
      </c>
      <c r="J2491" t="n">
        <v>0</v>
      </c>
      <c r="K2491" t="n">
        <v>0</v>
      </c>
      <c r="L2491" t="n">
        <v>0</v>
      </c>
      <c r="M2491" t="n">
        <v>0</v>
      </c>
      <c r="N2491" t="n">
        <v>0</v>
      </c>
      <c r="O2491" t="n">
        <v>0</v>
      </c>
      <c r="P2491" t="n">
        <v>0</v>
      </c>
      <c r="Q2491" t="n">
        <v>0</v>
      </c>
      <c r="R2491" s="2" t="inlineStr"/>
    </row>
    <row r="2492" ht="15" customHeight="1">
      <c r="A2492" t="inlineStr">
        <is>
          <t>A 8790-2022</t>
        </is>
      </c>
      <c r="B2492" s="1" t="n">
        <v>44614</v>
      </c>
      <c r="C2492" s="1" t="n">
        <v>46011</v>
      </c>
      <c r="D2492" t="inlineStr">
        <is>
          <t>VÄSTRA GÖTALANDS LÄN</t>
        </is>
      </c>
      <c r="E2492" t="inlineStr">
        <is>
          <t>LIDKÖPING</t>
        </is>
      </c>
      <c r="F2492" t="inlineStr">
        <is>
          <t>Kyrkan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8859-2022</t>
        </is>
      </c>
      <c r="B2493" s="1" t="n">
        <v>44614.54890046296</v>
      </c>
      <c r="C2493" s="1" t="n">
        <v>46011</v>
      </c>
      <c r="D2493" t="inlineStr">
        <is>
          <t>VÄSTRA GÖTALANDS LÄN</t>
        </is>
      </c>
      <c r="E2493" t="inlineStr">
        <is>
          <t>TÖREBODA</t>
        </is>
      </c>
      <c r="F2493" t="inlineStr">
        <is>
          <t>Kyrkan</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7103-2021</t>
        </is>
      </c>
      <c r="B2494" s="1" t="n">
        <v>44238</v>
      </c>
      <c r="C2494" s="1" t="n">
        <v>46011</v>
      </c>
      <c r="D2494" t="inlineStr">
        <is>
          <t>VÄSTRA GÖTALANDS LÄN</t>
        </is>
      </c>
      <c r="E2494" t="inlineStr">
        <is>
          <t>TRANEMO</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4509-2022</t>
        </is>
      </c>
      <c r="B2495" s="1" t="n">
        <v>44589</v>
      </c>
      <c r="C2495" s="1" t="n">
        <v>46011</v>
      </c>
      <c r="D2495" t="inlineStr">
        <is>
          <t>VÄSTRA GÖTALANDS LÄN</t>
        </is>
      </c>
      <c r="E2495" t="inlineStr">
        <is>
          <t>TIDAHOLM</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495-2022</t>
        </is>
      </c>
      <c r="B2496" s="1" t="n">
        <v>44566.46680555555</v>
      </c>
      <c r="C2496" s="1" t="n">
        <v>46011</v>
      </c>
      <c r="D2496" t="inlineStr">
        <is>
          <t>VÄSTRA GÖTALANDS LÄN</t>
        </is>
      </c>
      <c r="E2496" t="inlineStr">
        <is>
          <t>TIBRO</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496-2022</t>
        </is>
      </c>
      <c r="B2497" s="1" t="n">
        <v>44566.46861111111</v>
      </c>
      <c r="C2497" s="1" t="n">
        <v>46011</v>
      </c>
      <c r="D2497" t="inlineStr">
        <is>
          <t>VÄSTRA GÖTALANDS LÄN</t>
        </is>
      </c>
      <c r="E2497" t="inlineStr">
        <is>
          <t>TIBRO</t>
        </is>
      </c>
      <c r="F2497" t="inlineStr">
        <is>
          <t>Sveaskog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5191-2021</t>
        </is>
      </c>
      <c r="B2498" s="1" t="n">
        <v>44228</v>
      </c>
      <c r="C2498" s="1" t="n">
        <v>46011</v>
      </c>
      <c r="D2498" t="inlineStr">
        <is>
          <t>VÄSTRA GÖTALANDS LÄN</t>
        </is>
      </c>
      <c r="E2498" t="inlineStr">
        <is>
          <t>BOLLEBYGD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12575-2021</t>
        </is>
      </c>
      <c r="B2499" s="1" t="n">
        <v>44270.36637731481</v>
      </c>
      <c r="C2499" s="1" t="n">
        <v>46011</v>
      </c>
      <c r="D2499" t="inlineStr">
        <is>
          <t>VÄSTRA GÖTALANDS LÄN</t>
        </is>
      </c>
      <c r="E2499" t="inlineStr">
        <is>
          <t>VARA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69036-2021</t>
        </is>
      </c>
      <c r="B2500" s="1" t="n">
        <v>44530</v>
      </c>
      <c r="C2500" s="1" t="n">
        <v>46011</v>
      </c>
      <c r="D2500" t="inlineStr">
        <is>
          <t>VÄSTRA GÖTALANDS LÄN</t>
        </is>
      </c>
      <c r="E2500" t="inlineStr">
        <is>
          <t>TRANEMO</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12262-2021</t>
        </is>
      </c>
      <c r="B2501" s="1" t="n">
        <v>44266</v>
      </c>
      <c r="C2501" s="1" t="n">
        <v>46011</v>
      </c>
      <c r="D2501" t="inlineStr">
        <is>
          <t>VÄSTRA GÖTALANDS LÄN</t>
        </is>
      </c>
      <c r="E2501" t="inlineStr">
        <is>
          <t>HÄRRYDA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59618-2021</t>
        </is>
      </c>
      <c r="B2502" s="1" t="n">
        <v>44491.71606481481</v>
      </c>
      <c r="C2502" s="1" t="n">
        <v>46011</v>
      </c>
      <c r="D2502" t="inlineStr">
        <is>
          <t>VÄSTRA GÖTALANDS LÄN</t>
        </is>
      </c>
      <c r="E2502" t="inlineStr">
        <is>
          <t>MARK</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4087-2021</t>
        </is>
      </c>
      <c r="B2503" s="1" t="n">
        <v>44222</v>
      </c>
      <c r="C2503" s="1" t="n">
        <v>46011</v>
      </c>
      <c r="D2503" t="inlineStr">
        <is>
          <t>VÄSTRA GÖTALANDS LÄN</t>
        </is>
      </c>
      <c r="E2503" t="inlineStr">
        <is>
          <t>FÄRGELANDA</t>
        </is>
      </c>
      <c r="G2503" t="n">
        <v>14.6</v>
      </c>
      <c r="H2503" t="n">
        <v>0</v>
      </c>
      <c r="I2503" t="n">
        <v>0</v>
      </c>
      <c r="J2503" t="n">
        <v>0</v>
      </c>
      <c r="K2503" t="n">
        <v>0</v>
      </c>
      <c r="L2503" t="n">
        <v>0</v>
      </c>
      <c r="M2503" t="n">
        <v>0</v>
      </c>
      <c r="N2503" t="n">
        <v>0</v>
      </c>
      <c r="O2503" t="n">
        <v>0</v>
      </c>
      <c r="P2503" t="n">
        <v>0</v>
      </c>
      <c r="Q2503" t="n">
        <v>0</v>
      </c>
      <c r="R2503" s="2" t="inlineStr"/>
    </row>
    <row r="2504" ht="15" customHeight="1">
      <c r="A2504" t="inlineStr">
        <is>
          <t>A 54113-2022</t>
        </is>
      </c>
      <c r="B2504" s="1" t="n">
        <v>44881.56228009259</v>
      </c>
      <c r="C2504" s="1" t="n">
        <v>46011</v>
      </c>
      <c r="D2504" t="inlineStr">
        <is>
          <t>VÄSTRA GÖTALANDS LÄN</t>
        </is>
      </c>
      <c r="E2504" t="inlineStr">
        <is>
          <t>TIDAHOLM</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3360-2022</t>
        </is>
      </c>
      <c r="B2505" s="1" t="n">
        <v>44585</v>
      </c>
      <c r="C2505" s="1" t="n">
        <v>46011</v>
      </c>
      <c r="D2505" t="inlineStr">
        <is>
          <t>VÄSTRA GÖTALANDS LÄN</t>
        </is>
      </c>
      <c r="E2505" t="inlineStr">
        <is>
          <t>BOLLEBYGD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32284-2022</t>
        </is>
      </c>
      <c r="B2506" s="1" t="n">
        <v>44781.59453703704</v>
      </c>
      <c r="C2506" s="1" t="n">
        <v>46011</v>
      </c>
      <c r="D2506" t="inlineStr">
        <is>
          <t>VÄSTRA GÖTALANDS LÄN</t>
        </is>
      </c>
      <c r="E2506" t="inlineStr">
        <is>
          <t>BENGTSFORS</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49741-2022</t>
        </is>
      </c>
      <c r="B2507" s="1" t="n">
        <v>44862</v>
      </c>
      <c r="C2507" s="1" t="n">
        <v>46011</v>
      </c>
      <c r="D2507" t="inlineStr">
        <is>
          <t>VÄSTRA GÖTALANDS LÄN</t>
        </is>
      </c>
      <c r="E2507" t="inlineStr">
        <is>
          <t>TANUM</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28550-2022</t>
        </is>
      </c>
      <c r="B2508" s="1" t="n">
        <v>44748.42290509259</v>
      </c>
      <c r="C2508" s="1" t="n">
        <v>46011</v>
      </c>
      <c r="D2508" t="inlineStr">
        <is>
          <t>VÄSTRA GÖTALANDS LÄN</t>
        </is>
      </c>
      <c r="E2508" t="inlineStr">
        <is>
          <t>HERRLJUNGA</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238-2022</t>
        </is>
      </c>
      <c r="B2509" s="1" t="n">
        <v>44565</v>
      </c>
      <c r="C2509" s="1" t="n">
        <v>46011</v>
      </c>
      <c r="D2509" t="inlineStr">
        <is>
          <t>VÄSTRA GÖTALANDS LÄN</t>
        </is>
      </c>
      <c r="E2509" t="inlineStr">
        <is>
          <t>BORÅS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2385-2022</t>
        </is>
      </c>
      <c r="B2510" s="1" t="n">
        <v>44579</v>
      </c>
      <c r="C2510" s="1" t="n">
        <v>46011</v>
      </c>
      <c r="D2510" t="inlineStr">
        <is>
          <t>VÄSTRA GÖTALANDS LÄN</t>
        </is>
      </c>
      <c r="E2510" t="inlineStr">
        <is>
          <t>TÖREBODA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18157-2022</t>
        </is>
      </c>
      <c r="B2511" s="1" t="n">
        <v>44684</v>
      </c>
      <c r="C2511" s="1" t="n">
        <v>46011</v>
      </c>
      <c r="D2511" t="inlineStr">
        <is>
          <t>VÄSTRA GÖTALANDS LÄN</t>
        </is>
      </c>
      <c r="E2511" t="inlineStr">
        <is>
          <t>VÄNERSBORG</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28101-2022</t>
        </is>
      </c>
      <c r="B2512" s="1" t="n">
        <v>44746.47565972222</v>
      </c>
      <c r="C2512" s="1" t="n">
        <v>46011</v>
      </c>
      <c r="D2512" t="inlineStr">
        <is>
          <t>VÄSTRA GÖTALANDS LÄN</t>
        </is>
      </c>
      <c r="E2512" t="inlineStr">
        <is>
          <t>GULLSPÅNG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4780-2021</t>
        </is>
      </c>
      <c r="B2513" s="1" t="n">
        <v>44225</v>
      </c>
      <c r="C2513" s="1" t="n">
        <v>46011</v>
      </c>
      <c r="D2513" t="inlineStr">
        <is>
          <t>VÄSTRA GÖTALANDS LÄN</t>
        </is>
      </c>
      <c r="E2513" t="inlineStr">
        <is>
          <t>KARLSBORG</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69614-2021</t>
        </is>
      </c>
      <c r="B2514" s="1" t="n">
        <v>44532</v>
      </c>
      <c r="C2514" s="1" t="n">
        <v>46011</v>
      </c>
      <c r="D2514" t="inlineStr">
        <is>
          <t>VÄSTRA GÖTALANDS LÄN</t>
        </is>
      </c>
      <c r="E2514" t="inlineStr">
        <is>
          <t>LERUM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69628-2021</t>
        </is>
      </c>
      <c r="B2515" s="1" t="n">
        <v>44532</v>
      </c>
      <c r="C2515" s="1" t="n">
        <v>46011</v>
      </c>
      <c r="D2515" t="inlineStr">
        <is>
          <t>VÄSTRA GÖTALANDS LÄN</t>
        </is>
      </c>
      <c r="E2515" t="inlineStr">
        <is>
          <t>LERUM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2799-2021</t>
        </is>
      </c>
      <c r="B2516" s="1" t="n">
        <v>44215</v>
      </c>
      <c r="C2516" s="1" t="n">
        <v>46011</v>
      </c>
      <c r="D2516" t="inlineStr">
        <is>
          <t>VÄSTRA GÖTALANDS LÄN</t>
        </is>
      </c>
      <c r="E2516" t="inlineStr">
        <is>
          <t>VARA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9470-2022</t>
        </is>
      </c>
      <c r="B2517" s="1" t="n">
        <v>44616</v>
      </c>
      <c r="C2517" s="1" t="n">
        <v>46011</v>
      </c>
      <c r="D2517" t="inlineStr">
        <is>
          <t>VÄSTRA GÖTALANDS LÄN</t>
        </is>
      </c>
      <c r="E2517" t="inlineStr">
        <is>
          <t>VÅRGÅRDA</t>
        </is>
      </c>
      <c r="G2517" t="n">
        <v>21.5</v>
      </c>
      <c r="H2517" t="n">
        <v>0</v>
      </c>
      <c r="I2517" t="n">
        <v>0</v>
      </c>
      <c r="J2517" t="n">
        <v>0</v>
      </c>
      <c r="K2517" t="n">
        <v>0</v>
      </c>
      <c r="L2517" t="n">
        <v>0</v>
      </c>
      <c r="M2517" t="n">
        <v>0</v>
      </c>
      <c r="N2517" t="n">
        <v>0</v>
      </c>
      <c r="O2517" t="n">
        <v>0</v>
      </c>
      <c r="P2517" t="n">
        <v>0</v>
      </c>
      <c r="Q2517" t="n">
        <v>0</v>
      </c>
      <c r="R2517" s="2" t="inlineStr"/>
    </row>
    <row r="2518" ht="15" customHeight="1">
      <c r="A2518" t="inlineStr">
        <is>
          <t>A 19559-2022</t>
        </is>
      </c>
      <c r="B2518" s="1" t="n">
        <v>44693.6590625</v>
      </c>
      <c r="C2518" s="1" t="n">
        <v>46011</v>
      </c>
      <c r="D2518" t="inlineStr">
        <is>
          <t>VÄSTRA GÖTALANDS LÄN</t>
        </is>
      </c>
      <c r="E2518" t="inlineStr">
        <is>
          <t>VÄNERSBORG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19577-2022</t>
        </is>
      </c>
      <c r="B2519" s="1" t="n">
        <v>44693</v>
      </c>
      <c r="C2519" s="1" t="n">
        <v>46011</v>
      </c>
      <c r="D2519" t="inlineStr">
        <is>
          <t>VÄSTRA GÖTALANDS LÄN</t>
        </is>
      </c>
      <c r="E2519" t="inlineStr">
        <is>
          <t>TROLLHÄTTAN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2377-2022</t>
        </is>
      </c>
      <c r="B2520" s="1" t="n">
        <v>44579</v>
      </c>
      <c r="C2520" s="1" t="n">
        <v>46011</v>
      </c>
      <c r="D2520" t="inlineStr">
        <is>
          <t>VÄSTRA GÖTALANDS LÄN</t>
        </is>
      </c>
      <c r="E2520" t="inlineStr">
        <is>
          <t>VÄNERSBORG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70949-2021</t>
        </is>
      </c>
      <c r="B2521" s="1" t="n">
        <v>44538.5125462963</v>
      </c>
      <c r="C2521" s="1" t="n">
        <v>46011</v>
      </c>
      <c r="D2521" t="inlineStr">
        <is>
          <t>VÄSTRA GÖTALANDS LÄN</t>
        </is>
      </c>
      <c r="E2521" t="inlineStr">
        <is>
          <t>KARLSBORG</t>
        </is>
      </c>
      <c r="F2521" t="inlineStr">
        <is>
          <t>Övriga Aktiebolag</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71009-2021</t>
        </is>
      </c>
      <c r="B2522" s="1" t="n">
        <v>44538</v>
      </c>
      <c r="C2522" s="1" t="n">
        <v>46011</v>
      </c>
      <c r="D2522" t="inlineStr">
        <is>
          <t>VÄSTRA GÖTALANDS LÄN</t>
        </is>
      </c>
      <c r="E2522" t="inlineStr">
        <is>
          <t>GULLSPÅNG</t>
        </is>
      </c>
      <c r="F2522" t="inlineStr">
        <is>
          <t>Kyrkan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8028-2021</t>
        </is>
      </c>
      <c r="B2523" s="1" t="n">
        <v>44243</v>
      </c>
      <c r="C2523" s="1" t="n">
        <v>46011</v>
      </c>
      <c r="D2523" t="inlineStr">
        <is>
          <t>VÄSTRA GÖTALANDS LÄN</t>
        </is>
      </c>
      <c r="E2523" t="inlineStr">
        <is>
          <t>VÅRGÅRDA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10129-2021</t>
        </is>
      </c>
      <c r="B2524" s="1" t="n">
        <v>44256</v>
      </c>
      <c r="C2524" s="1" t="n">
        <v>46011</v>
      </c>
      <c r="D2524" t="inlineStr">
        <is>
          <t>VÄSTRA GÖTALANDS LÄN</t>
        </is>
      </c>
      <c r="E2524" t="inlineStr">
        <is>
          <t>MARIESTAD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73020-2021</t>
        </is>
      </c>
      <c r="B2525" s="1" t="n">
        <v>44550</v>
      </c>
      <c r="C2525" s="1" t="n">
        <v>46011</v>
      </c>
      <c r="D2525" t="inlineStr">
        <is>
          <t>VÄSTRA GÖTALANDS LÄN</t>
        </is>
      </c>
      <c r="E2525" t="inlineStr">
        <is>
          <t>SOTENÄS</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41420-2022</t>
        </is>
      </c>
      <c r="B2526" s="1" t="n">
        <v>44826.6478125</v>
      </c>
      <c r="C2526" s="1" t="n">
        <v>46011</v>
      </c>
      <c r="D2526" t="inlineStr">
        <is>
          <t>VÄSTRA GÖTALANDS LÄN</t>
        </is>
      </c>
      <c r="E2526" t="inlineStr">
        <is>
          <t>LILLA EDET</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15508-2022</t>
        </is>
      </c>
      <c r="B2527" s="1" t="n">
        <v>44662.39761574074</v>
      </c>
      <c r="C2527" s="1" t="n">
        <v>46011</v>
      </c>
      <c r="D2527" t="inlineStr">
        <is>
          <t>VÄSTRA GÖTALANDS LÄN</t>
        </is>
      </c>
      <c r="E2527" t="inlineStr">
        <is>
          <t>ALE</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20869-2021</t>
        </is>
      </c>
      <c r="B2528" s="1" t="n">
        <v>44319</v>
      </c>
      <c r="C2528" s="1" t="n">
        <v>46011</v>
      </c>
      <c r="D2528" t="inlineStr">
        <is>
          <t>VÄSTRA GÖTALANDS LÄN</t>
        </is>
      </c>
      <c r="E2528" t="inlineStr">
        <is>
          <t>BORÅS</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10023-2021</t>
        </is>
      </c>
      <c r="B2529" s="1" t="n">
        <v>44256</v>
      </c>
      <c r="C2529" s="1" t="n">
        <v>46011</v>
      </c>
      <c r="D2529" t="inlineStr">
        <is>
          <t>VÄSTRA GÖTALANDS LÄN</t>
        </is>
      </c>
      <c r="E2529" t="inlineStr">
        <is>
          <t>LILLA EDET</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8913-2021</t>
        </is>
      </c>
      <c r="B2530" s="1" t="n">
        <v>44246</v>
      </c>
      <c r="C2530" s="1" t="n">
        <v>46011</v>
      </c>
      <c r="D2530" t="inlineStr">
        <is>
          <t>VÄSTRA GÖTALANDS LÄN</t>
        </is>
      </c>
      <c r="E2530" t="inlineStr">
        <is>
          <t>MUNKEDAL</t>
        </is>
      </c>
      <c r="F2530" t="inlineStr">
        <is>
          <t>Övriga Aktiebolag</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42213-2022</t>
        </is>
      </c>
      <c r="B2531" s="1" t="n">
        <v>44830</v>
      </c>
      <c r="C2531" s="1" t="n">
        <v>46011</v>
      </c>
      <c r="D2531" t="inlineStr">
        <is>
          <t>VÄSTRA GÖTALANDS LÄN</t>
        </is>
      </c>
      <c r="E2531" t="inlineStr">
        <is>
          <t>BENGTSFORS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51407-2022</t>
        </is>
      </c>
      <c r="B2532" s="1" t="n">
        <v>44866</v>
      </c>
      <c r="C2532" s="1" t="n">
        <v>46011</v>
      </c>
      <c r="D2532" t="inlineStr">
        <is>
          <t>VÄSTRA GÖTALANDS LÄN</t>
        </is>
      </c>
      <c r="E2532" t="inlineStr">
        <is>
          <t>MUNKEDAL</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14406-2022</t>
        </is>
      </c>
      <c r="B2533" s="1" t="n">
        <v>44652</v>
      </c>
      <c r="C2533" s="1" t="n">
        <v>46011</v>
      </c>
      <c r="D2533" t="inlineStr">
        <is>
          <t>VÄSTRA GÖTALANDS LÄN</t>
        </is>
      </c>
      <c r="E2533" t="inlineStr">
        <is>
          <t>GULLSPÅNG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29086-2021</t>
        </is>
      </c>
      <c r="B2534" s="1" t="n">
        <v>44358.55907407407</v>
      </c>
      <c r="C2534" s="1" t="n">
        <v>46011</v>
      </c>
      <c r="D2534" t="inlineStr">
        <is>
          <t>VÄSTRA GÖTALANDS LÄN</t>
        </is>
      </c>
      <c r="E2534" t="inlineStr">
        <is>
          <t>MUNKEDAL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43613-2022</t>
        </is>
      </c>
      <c r="B2535" s="1" t="n">
        <v>44837.50228009259</v>
      </c>
      <c r="C2535" s="1" t="n">
        <v>46011</v>
      </c>
      <c r="D2535" t="inlineStr">
        <is>
          <t>VÄSTRA GÖTALANDS LÄN</t>
        </is>
      </c>
      <c r="E2535" t="inlineStr">
        <is>
          <t>TRANEMO</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43620-2022</t>
        </is>
      </c>
      <c r="B2536" s="1" t="n">
        <v>44837</v>
      </c>
      <c r="C2536" s="1" t="n">
        <v>46011</v>
      </c>
      <c r="D2536" t="inlineStr">
        <is>
          <t>VÄSTRA GÖTALANDS LÄN</t>
        </is>
      </c>
      <c r="E2536" t="inlineStr">
        <is>
          <t>SVENLJUNGA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54521-2022</t>
        </is>
      </c>
      <c r="B2537" s="1" t="n">
        <v>44882.73644675926</v>
      </c>
      <c r="C2537" s="1" t="n">
        <v>46011</v>
      </c>
      <c r="D2537" t="inlineStr">
        <is>
          <t>VÄSTRA GÖTALANDS LÄN</t>
        </is>
      </c>
      <c r="E2537" t="inlineStr">
        <is>
          <t>ULRICEHAMN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46381-2022</t>
        </is>
      </c>
      <c r="B2538" s="1" t="n">
        <v>44848</v>
      </c>
      <c r="C2538" s="1" t="n">
        <v>46011</v>
      </c>
      <c r="D2538" t="inlineStr">
        <is>
          <t>VÄSTRA GÖTALANDS LÄN</t>
        </is>
      </c>
      <c r="E2538" t="inlineStr">
        <is>
          <t>GÖTENE</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46454-2022</t>
        </is>
      </c>
      <c r="B2539" s="1" t="n">
        <v>44847</v>
      </c>
      <c r="C2539" s="1" t="n">
        <v>46011</v>
      </c>
      <c r="D2539" t="inlineStr">
        <is>
          <t>VÄSTRA GÖTALANDS LÄN</t>
        </is>
      </c>
      <c r="E2539" t="inlineStr">
        <is>
          <t>HERRLJUNGA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20280-2022</t>
        </is>
      </c>
      <c r="B2540" s="1" t="n">
        <v>44698.72146990741</v>
      </c>
      <c r="C2540" s="1" t="n">
        <v>46011</v>
      </c>
      <c r="D2540" t="inlineStr">
        <is>
          <t>VÄSTRA GÖTALANDS LÄN</t>
        </is>
      </c>
      <c r="E2540" t="inlineStr">
        <is>
          <t>SKÖVDE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31196-2021</t>
        </is>
      </c>
      <c r="B2541" s="1" t="n">
        <v>44368.62356481481</v>
      </c>
      <c r="C2541" s="1" t="n">
        <v>46011</v>
      </c>
      <c r="D2541" t="inlineStr">
        <is>
          <t>VÄSTRA GÖTALANDS LÄN</t>
        </is>
      </c>
      <c r="E2541" t="inlineStr">
        <is>
          <t>BENGTSFORS</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51930-2022</t>
        </is>
      </c>
      <c r="B2542" s="1" t="n">
        <v>44872.64650462963</v>
      </c>
      <c r="C2542" s="1" t="n">
        <v>46011</v>
      </c>
      <c r="D2542" t="inlineStr">
        <is>
          <t>VÄSTRA GÖTALANDS LÄN</t>
        </is>
      </c>
      <c r="E2542" t="inlineStr">
        <is>
          <t>KUNGÄLV</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30385-2021</t>
        </is>
      </c>
      <c r="B2543" s="1" t="n">
        <v>44364</v>
      </c>
      <c r="C2543" s="1" t="n">
        <v>46011</v>
      </c>
      <c r="D2543" t="inlineStr">
        <is>
          <t>VÄSTRA GÖTALANDS LÄN</t>
        </is>
      </c>
      <c r="E2543" t="inlineStr">
        <is>
          <t>DALS-ED</t>
        </is>
      </c>
      <c r="G2543" t="n">
        <v>10.5</v>
      </c>
      <c r="H2543" t="n">
        <v>0</v>
      </c>
      <c r="I2543" t="n">
        <v>0</v>
      </c>
      <c r="J2543" t="n">
        <v>0</v>
      </c>
      <c r="K2543" t="n">
        <v>0</v>
      </c>
      <c r="L2543" t="n">
        <v>0</v>
      </c>
      <c r="M2543" t="n">
        <v>0</v>
      </c>
      <c r="N2543" t="n">
        <v>0</v>
      </c>
      <c r="O2543" t="n">
        <v>0</v>
      </c>
      <c r="P2543" t="n">
        <v>0</v>
      </c>
      <c r="Q2543" t="n">
        <v>0</v>
      </c>
      <c r="R2543" s="2" t="inlineStr"/>
    </row>
    <row r="2544" ht="15" customHeight="1">
      <c r="A2544" t="inlineStr">
        <is>
          <t>A 31003-2021</t>
        </is>
      </c>
      <c r="B2544" s="1" t="n">
        <v>44366.61554398148</v>
      </c>
      <c r="C2544" s="1" t="n">
        <v>46011</v>
      </c>
      <c r="D2544" t="inlineStr">
        <is>
          <t>VÄSTRA GÖTALANDS LÄN</t>
        </is>
      </c>
      <c r="E2544" t="inlineStr">
        <is>
          <t>TRANEMO</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23164-2021</t>
        </is>
      </c>
      <c r="B2545" s="1" t="n">
        <v>44332</v>
      </c>
      <c r="C2545" s="1" t="n">
        <v>46011</v>
      </c>
      <c r="D2545" t="inlineStr">
        <is>
          <t>VÄSTRA GÖTALANDS LÄN</t>
        </is>
      </c>
      <c r="E2545" t="inlineStr">
        <is>
          <t>ALINGSÅS</t>
        </is>
      </c>
      <c r="G2545" t="n">
        <v>13.1</v>
      </c>
      <c r="H2545" t="n">
        <v>0</v>
      </c>
      <c r="I2545" t="n">
        <v>0</v>
      </c>
      <c r="J2545" t="n">
        <v>0</v>
      </c>
      <c r="K2545" t="n">
        <v>0</v>
      </c>
      <c r="L2545" t="n">
        <v>0</v>
      </c>
      <c r="M2545" t="n">
        <v>0</v>
      </c>
      <c r="N2545" t="n">
        <v>0</v>
      </c>
      <c r="O2545" t="n">
        <v>0</v>
      </c>
      <c r="P2545" t="n">
        <v>0</v>
      </c>
      <c r="Q2545" t="n">
        <v>0</v>
      </c>
      <c r="R2545" s="2" t="inlineStr"/>
    </row>
    <row r="2546" ht="15" customHeight="1">
      <c r="A2546" t="inlineStr">
        <is>
          <t>A 31566-2021</t>
        </is>
      </c>
      <c r="B2546" s="1" t="n">
        <v>44369</v>
      </c>
      <c r="C2546" s="1" t="n">
        <v>46011</v>
      </c>
      <c r="D2546" t="inlineStr">
        <is>
          <t>VÄSTRA GÖTALANDS LÄN</t>
        </is>
      </c>
      <c r="E2546" t="inlineStr">
        <is>
          <t>ALE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24749-2022</t>
        </is>
      </c>
      <c r="B2547" s="1" t="n">
        <v>44728.31896990741</v>
      </c>
      <c r="C2547" s="1" t="n">
        <v>46011</v>
      </c>
      <c r="D2547" t="inlineStr">
        <is>
          <t>VÄSTRA GÖTALANDS LÄN</t>
        </is>
      </c>
      <c r="E2547" t="inlineStr">
        <is>
          <t>FALKÖPING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13923-2022</t>
        </is>
      </c>
      <c r="B2548" s="1" t="n">
        <v>44650</v>
      </c>
      <c r="C2548" s="1" t="n">
        <v>46011</v>
      </c>
      <c r="D2548" t="inlineStr">
        <is>
          <t>VÄSTRA GÖTALANDS LÄN</t>
        </is>
      </c>
      <c r="E2548" t="inlineStr">
        <is>
          <t>VÄNERSBORG</t>
        </is>
      </c>
      <c r="F2548" t="inlineStr">
        <is>
          <t>Naturvårdsverket</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36976-2021</t>
        </is>
      </c>
      <c r="B2549" s="1" t="n">
        <v>44393.58277777778</v>
      </c>
      <c r="C2549" s="1" t="n">
        <v>46011</v>
      </c>
      <c r="D2549" t="inlineStr">
        <is>
          <t>VÄSTRA GÖTALANDS LÄN</t>
        </is>
      </c>
      <c r="E2549" t="inlineStr">
        <is>
          <t>MARK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49968-2022</t>
        </is>
      </c>
      <c r="B2550" s="1" t="n">
        <v>44865.3790162037</v>
      </c>
      <c r="C2550" s="1" t="n">
        <v>46011</v>
      </c>
      <c r="D2550" t="inlineStr">
        <is>
          <t>VÄSTRA GÖTALANDS LÄN</t>
        </is>
      </c>
      <c r="E2550" t="inlineStr">
        <is>
          <t>GÖTENE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36934-2021</t>
        </is>
      </c>
      <c r="B2551" s="1" t="n">
        <v>44393</v>
      </c>
      <c r="C2551" s="1" t="n">
        <v>46011</v>
      </c>
      <c r="D2551" t="inlineStr">
        <is>
          <t>VÄSTRA GÖTALANDS LÄN</t>
        </is>
      </c>
      <c r="E2551" t="inlineStr">
        <is>
          <t>BORÅS</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33380-2021</t>
        </is>
      </c>
      <c r="B2552" s="1" t="n">
        <v>44377</v>
      </c>
      <c r="C2552" s="1" t="n">
        <v>46011</v>
      </c>
      <c r="D2552" t="inlineStr">
        <is>
          <t>VÄSTRA GÖTALANDS LÄN</t>
        </is>
      </c>
      <c r="E2552" t="inlineStr">
        <is>
          <t>BENGTSFORS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4442-2021</t>
        </is>
      </c>
      <c r="B2553" s="1" t="n">
        <v>44224</v>
      </c>
      <c r="C2553" s="1" t="n">
        <v>46011</v>
      </c>
      <c r="D2553" t="inlineStr">
        <is>
          <t>VÄSTRA GÖTALANDS LÄN</t>
        </is>
      </c>
      <c r="E2553" t="inlineStr">
        <is>
          <t>SVENLJUNGA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50985-2022</t>
        </is>
      </c>
      <c r="B2554" s="1" t="n">
        <v>44867</v>
      </c>
      <c r="C2554" s="1" t="n">
        <v>46011</v>
      </c>
      <c r="D2554" t="inlineStr">
        <is>
          <t>VÄSTRA GÖTALANDS LÄN</t>
        </is>
      </c>
      <c r="E2554" t="inlineStr">
        <is>
          <t>VARA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6068-2022</t>
        </is>
      </c>
      <c r="B2555" s="1" t="n">
        <v>44599</v>
      </c>
      <c r="C2555" s="1" t="n">
        <v>46011</v>
      </c>
      <c r="D2555" t="inlineStr">
        <is>
          <t>VÄSTRA GÖTALANDS LÄN</t>
        </is>
      </c>
      <c r="E2555" t="inlineStr">
        <is>
          <t>KARLSBORG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11657-2021</t>
        </is>
      </c>
      <c r="B2556" s="1" t="n">
        <v>44264.70421296296</v>
      </c>
      <c r="C2556" s="1" t="n">
        <v>46011</v>
      </c>
      <c r="D2556" t="inlineStr">
        <is>
          <t>VÄSTRA GÖTALANDS LÄN</t>
        </is>
      </c>
      <c r="E2556" t="inlineStr">
        <is>
          <t>MELLERUD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24976-2022</t>
        </is>
      </c>
      <c r="B2557" s="1" t="n">
        <v>44728.73445601852</v>
      </c>
      <c r="C2557" s="1" t="n">
        <v>46011</v>
      </c>
      <c r="D2557" t="inlineStr">
        <is>
          <t>VÄSTRA GÖTALANDS LÄN</t>
        </is>
      </c>
      <c r="E2557" t="inlineStr">
        <is>
          <t>SKARA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18473-2021</t>
        </is>
      </c>
      <c r="B2558" s="1" t="n">
        <v>44306</v>
      </c>
      <c r="C2558" s="1" t="n">
        <v>46011</v>
      </c>
      <c r="D2558" t="inlineStr">
        <is>
          <t>VÄSTRA GÖTALANDS LÄN</t>
        </is>
      </c>
      <c r="E2558" t="inlineStr">
        <is>
          <t>ULRICEHAMN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25545-2021</t>
        </is>
      </c>
      <c r="B2559" s="1" t="n">
        <v>44343.32159722222</v>
      </c>
      <c r="C2559" s="1" t="n">
        <v>46011</v>
      </c>
      <c r="D2559" t="inlineStr">
        <is>
          <t>VÄSTRA GÖTALANDS LÄN</t>
        </is>
      </c>
      <c r="E2559" t="inlineStr">
        <is>
          <t>STRÖMSTAD</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34598-2021</t>
        </is>
      </c>
      <c r="B2560" s="1" t="n">
        <v>44382</v>
      </c>
      <c r="C2560" s="1" t="n">
        <v>46011</v>
      </c>
      <c r="D2560" t="inlineStr">
        <is>
          <t>VÄSTRA GÖTALANDS LÄN</t>
        </is>
      </c>
      <c r="E2560" t="inlineStr">
        <is>
          <t>VÄNERSBORG</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17056-2021</t>
        </is>
      </c>
      <c r="B2561" s="1" t="n">
        <v>44296.52827546297</v>
      </c>
      <c r="C2561" s="1" t="n">
        <v>46011</v>
      </c>
      <c r="D2561" t="inlineStr">
        <is>
          <t>VÄSTRA GÖTALANDS LÄN</t>
        </is>
      </c>
      <c r="E2561" t="inlineStr">
        <is>
          <t>TRANEMO</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21275-2021</t>
        </is>
      </c>
      <c r="B2562" s="1" t="n">
        <v>44320</v>
      </c>
      <c r="C2562" s="1" t="n">
        <v>46011</v>
      </c>
      <c r="D2562" t="inlineStr">
        <is>
          <t>VÄSTRA GÖTALANDS LÄN</t>
        </is>
      </c>
      <c r="E2562" t="inlineStr">
        <is>
          <t>TÖREBODA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42902-2021</t>
        </is>
      </c>
      <c r="B2563" s="1" t="n">
        <v>44431.35026620371</v>
      </c>
      <c r="C2563" s="1" t="n">
        <v>46011</v>
      </c>
      <c r="D2563" t="inlineStr">
        <is>
          <t>VÄSTRA GÖTALANDS LÄN</t>
        </is>
      </c>
      <c r="E2563" t="inlineStr">
        <is>
          <t>VARA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32161-2021</t>
        </is>
      </c>
      <c r="B2564" s="1" t="n">
        <v>44371</v>
      </c>
      <c r="C2564" s="1" t="n">
        <v>46011</v>
      </c>
      <c r="D2564" t="inlineStr">
        <is>
          <t>VÄSTRA GÖTALANDS LÄN</t>
        </is>
      </c>
      <c r="E2564" t="inlineStr">
        <is>
          <t>ULRICEHAMN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42919-2021</t>
        </is>
      </c>
      <c r="B2565" s="1" t="n">
        <v>44429</v>
      </c>
      <c r="C2565" s="1" t="n">
        <v>46011</v>
      </c>
      <c r="D2565" t="inlineStr">
        <is>
          <t>VÄSTRA GÖTALANDS LÄN</t>
        </is>
      </c>
      <c r="E2565" t="inlineStr">
        <is>
          <t>FALKÖPING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42923-2021</t>
        </is>
      </c>
      <c r="B2566" s="1" t="n">
        <v>44429</v>
      </c>
      <c r="C2566" s="1" t="n">
        <v>46011</v>
      </c>
      <c r="D2566" t="inlineStr">
        <is>
          <t>VÄSTRA GÖTALANDS LÄN</t>
        </is>
      </c>
      <c r="E2566" t="inlineStr">
        <is>
          <t>FALKÖPING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47469-2021</t>
        </is>
      </c>
      <c r="B2567" s="1" t="n">
        <v>44447</v>
      </c>
      <c r="C2567" s="1" t="n">
        <v>46011</v>
      </c>
      <c r="D2567" t="inlineStr">
        <is>
          <t>VÄSTRA GÖTALANDS LÄN</t>
        </is>
      </c>
      <c r="E2567" t="inlineStr">
        <is>
          <t>ULRICEHAMN</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47984-2021</t>
        </is>
      </c>
      <c r="B2568" s="1" t="n">
        <v>44449.3241550926</v>
      </c>
      <c r="C2568" s="1" t="n">
        <v>46011</v>
      </c>
      <c r="D2568" t="inlineStr">
        <is>
          <t>VÄSTRA GÖTALANDS LÄN</t>
        </is>
      </c>
      <c r="E2568" t="inlineStr">
        <is>
          <t>TRANEMO</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44642-2021</t>
        </is>
      </c>
      <c r="B2569" s="1" t="n">
        <v>44437.68137731482</v>
      </c>
      <c r="C2569" s="1" t="n">
        <v>46011</v>
      </c>
      <c r="D2569" t="inlineStr">
        <is>
          <t>VÄSTRA GÖTALANDS LÄN</t>
        </is>
      </c>
      <c r="E2569" t="inlineStr">
        <is>
          <t>BENGTSFORS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31110-2022</t>
        </is>
      </c>
      <c r="B2570" s="1" t="n">
        <v>44769.6740162037</v>
      </c>
      <c r="C2570" s="1" t="n">
        <v>46011</v>
      </c>
      <c r="D2570" t="inlineStr">
        <is>
          <t>VÄSTRA GÖTALANDS LÄN</t>
        </is>
      </c>
      <c r="E2570" t="inlineStr">
        <is>
          <t>BENGTSFORS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51868-2021</t>
        </is>
      </c>
      <c r="B2571" s="1" t="n">
        <v>44462.73247685185</v>
      </c>
      <c r="C2571" s="1" t="n">
        <v>46011</v>
      </c>
      <c r="D2571" t="inlineStr">
        <is>
          <t>VÄSTRA GÖTALANDS LÄN</t>
        </is>
      </c>
      <c r="E2571" t="inlineStr">
        <is>
          <t>UDDEVALLA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68081-2021</t>
        </is>
      </c>
      <c r="B2572" s="1" t="n">
        <v>44526.32285879629</v>
      </c>
      <c r="C2572" s="1" t="n">
        <v>46011</v>
      </c>
      <c r="D2572" t="inlineStr">
        <is>
          <t>VÄSTRA GÖTALANDS LÄN</t>
        </is>
      </c>
      <c r="E2572" t="inlineStr">
        <is>
          <t>MARIESTAD</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31214-2021</t>
        </is>
      </c>
      <c r="B2573" s="1" t="n">
        <v>44368</v>
      </c>
      <c r="C2573" s="1" t="n">
        <v>46011</v>
      </c>
      <c r="D2573" t="inlineStr">
        <is>
          <t>VÄSTRA GÖTALANDS LÄN</t>
        </is>
      </c>
      <c r="E2573" t="inlineStr">
        <is>
          <t>BENGTSFORS</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65457-2021</t>
        </is>
      </c>
      <c r="B2574" s="1" t="n">
        <v>44516</v>
      </c>
      <c r="C2574" s="1" t="n">
        <v>46011</v>
      </c>
      <c r="D2574" t="inlineStr">
        <is>
          <t>VÄSTRA GÖTALANDS LÄN</t>
        </is>
      </c>
      <c r="E2574" t="inlineStr">
        <is>
          <t>UDDEVALLA</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63950-2021</t>
        </is>
      </c>
      <c r="B2575" s="1" t="n">
        <v>44509</v>
      </c>
      <c r="C2575" s="1" t="n">
        <v>46011</v>
      </c>
      <c r="D2575" t="inlineStr">
        <is>
          <t>VÄSTRA GÖTALANDS LÄN</t>
        </is>
      </c>
      <c r="E2575" t="inlineStr">
        <is>
          <t>TIDAHOLM</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36881-2021</t>
        </is>
      </c>
      <c r="B2576" s="1" t="n">
        <v>44393</v>
      </c>
      <c r="C2576" s="1" t="n">
        <v>46011</v>
      </c>
      <c r="D2576" t="inlineStr">
        <is>
          <t>VÄSTRA GÖTALANDS LÄN</t>
        </is>
      </c>
      <c r="E2576" t="inlineStr">
        <is>
          <t>ULRICEHAMN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37130-2021</t>
        </is>
      </c>
      <c r="B2577" s="1" t="n">
        <v>44395</v>
      </c>
      <c r="C2577" s="1" t="n">
        <v>46011</v>
      </c>
      <c r="D2577" t="inlineStr">
        <is>
          <t>VÄSTRA GÖTALANDS LÄN</t>
        </is>
      </c>
      <c r="E2577" t="inlineStr">
        <is>
          <t>TANUM</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69286-2021</t>
        </is>
      </c>
      <c r="B2578" s="1" t="n">
        <v>44531.45315972222</v>
      </c>
      <c r="C2578" s="1" t="n">
        <v>46011</v>
      </c>
      <c r="D2578" t="inlineStr">
        <is>
          <t>VÄSTRA GÖTALANDS LÄN</t>
        </is>
      </c>
      <c r="E2578" t="inlineStr">
        <is>
          <t>TÖREBODA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73268-2021</t>
        </is>
      </c>
      <c r="B2579" s="1" t="n">
        <v>44550</v>
      </c>
      <c r="C2579" s="1" t="n">
        <v>46011</v>
      </c>
      <c r="D2579" t="inlineStr">
        <is>
          <t>VÄSTRA GÖTALANDS LÄN</t>
        </is>
      </c>
      <c r="E2579" t="inlineStr">
        <is>
          <t>BORÅS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59809-2021</t>
        </is>
      </c>
      <c r="B2580" s="1" t="n">
        <v>44494.53561342593</v>
      </c>
      <c r="C2580" s="1" t="n">
        <v>46011</v>
      </c>
      <c r="D2580" t="inlineStr">
        <is>
          <t>VÄSTRA GÖTALANDS LÄN</t>
        </is>
      </c>
      <c r="E2580" t="inlineStr">
        <is>
          <t>ÅMÅL</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33931-2021</t>
        </is>
      </c>
      <c r="B2581" s="1" t="n">
        <v>44378.75256944444</v>
      </c>
      <c r="C2581" s="1" t="n">
        <v>46011</v>
      </c>
      <c r="D2581" t="inlineStr">
        <is>
          <t>VÄSTRA GÖTALANDS LÄN</t>
        </is>
      </c>
      <c r="E2581" t="inlineStr">
        <is>
          <t>TANUM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3468-2021</t>
        </is>
      </c>
      <c r="B2582" s="1" t="n">
        <v>44218</v>
      </c>
      <c r="C2582" s="1" t="n">
        <v>46011</v>
      </c>
      <c r="D2582" t="inlineStr">
        <is>
          <t>VÄSTRA GÖTALANDS LÄN</t>
        </is>
      </c>
      <c r="E2582" t="inlineStr">
        <is>
          <t>DALS-ED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51924-2022</t>
        </is>
      </c>
      <c r="B2583" s="1" t="n">
        <v>44872.64039351852</v>
      </c>
      <c r="C2583" s="1" t="n">
        <v>46011</v>
      </c>
      <c r="D2583" t="inlineStr">
        <is>
          <t>VÄSTRA GÖTALANDS LÄN</t>
        </is>
      </c>
      <c r="E2583" t="inlineStr">
        <is>
          <t>SVENLJUNGA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9140-2022</t>
        </is>
      </c>
      <c r="B2584" s="1" t="n">
        <v>44615</v>
      </c>
      <c r="C2584" s="1" t="n">
        <v>46011</v>
      </c>
      <c r="D2584" t="inlineStr">
        <is>
          <t>VÄSTRA GÖTALANDS LÄN</t>
        </is>
      </c>
      <c r="E2584" t="inlineStr">
        <is>
          <t>TIDAHOLM</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52012-2022</t>
        </is>
      </c>
      <c r="B2585" s="1" t="n">
        <v>44872.93511574074</v>
      </c>
      <c r="C2585" s="1" t="n">
        <v>46011</v>
      </c>
      <c r="D2585" t="inlineStr">
        <is>
          <t>VÄSTRA GÖTALANDS LÄN</t>
        </is>
      </c>
      <c r="E2585" t="inlineStr">
        <is>
          <t>ORUST</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37240-2021</t>
        </is>
      </c>
      <c r="B2586" s="1" t="n">
        <v>44396</v>
      </c>
      <c r="C2586" s="1" t="n">
        <v>46011</v>
      </c>
      <c r="D2586" t="inlineStr">
        <is>
          <t>VÄSTRA GÖTALANDS LÄN</t>
        </is>
      </c>
      <c r="E2586" t="inlineStr">
        <is>
          <t>TRANEMO</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37241-2021</t>
        </is>
      </c>
      <c r="B2587" s="1" t="n">
        <v>44396</v>
      </c>
      <c r="C2587" s="1" t="n">
        <v>46011</v>
      </c>
      <c r="D2587" t="inlineStr">
        <is>
          <t>VÄSTRA GÖTALANDS LÄN</t>
        </is>
      </c>
      <c r="E2587" t="inlineStr">
        <is>
          <t>TIBRO</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10118-2022</t>
        </is>
      </c>
      <c r="B2588" s="1" t="n">
        <v>44621.91310185185</v>
      </c>
      <c r="C2588" s="1" t="n">
        <v>46011</v>
      </c>
      <c r="D2588" t="inlineStr">
        <is>
          <t>VÄSTRA GÖTALANDS LÄN</t>
        </is>
      </c>
      <c r="E2588" t="inlineStr">
        <is>
          <t>VÅRGÅRDA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62710-2021</t>
        </is>
      </c>
      <c r="B2589" s="1" t="n">
        <v>44502</v>
      </c>
      <c r="C2589" s="1" t="n">
        <v>46011</v>
      </c>
      <c r="D2589" t="inlineStr">
        <is>
          <t>VÄSTRA GÖTALANDS LÄN</t>
        </is>
      </c>
      <c r="E2589" t="inlineStr">
        <is>
          <t>ESSUNGA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59114-2021</t>
        </is>
      </c>
      <c r="B2590" s="1" t="n">
        <v>44490.43811342592</v>
      </c>
      <c r="C2590" s="1" t="n">
        <v>46011</v>
      </c>
      <c r="D2590" t="inlineStr">
        <is>
          <t>VÄSTRA GÖTALANDS LÄN</t>
        </is>
      </c>
      <c r="E2590" t="inlineStr">
        <is>
          <t>GÖTENE</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35622-2021</t>
        </is>
      </c>
      <c r="B2591" s="1" t="n">
        <v>44386.3971875</v>
      </c>
      <c r="C2591" s="1" t="n">
        <v>46011</v>
      </c>
      <c r="D2591" t="inlineStr">
        <is>
          <t>VÄSTRA GÖTALANDS LÄN</t>
        </is>
      </c>
      <c r="E2591" t="inlineStr">
        <is>
          <t>TANUM</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35771-2021</t>
        </is>
      </c>
      <c r="B2592" s="1" t="n">
        <v>44386</v>
      </c>
      <c r="C2592" s="1" t="n">
        <v>46011</v>
      </c>
      <c r="D2592" t="inlineStr">
        <is>
          <t>VÄSTRA GÖTALANDS LÄN</t>
        </is>
      </c>
      <c r="E2592" t="inlineStr">
        <is>
          <t>HJO</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14425-2022</t>
        </is>
      </c>
      <c r="B2593" s="1" t="n">
        <v>44652</v>
      </c>
      <c r="C2593" s="1" t="n">
        <v>46011</v>
      </c>
      <c r="D2593" t="inlineStr">
        <is>
          <t>VÄSTRA GÖTALANDS LÄN</t>
        </is>
      </c>
      <c r="E2593" t="inlineStr">
        <is>
          <t>MARK</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1686-2021</t>
        </is>
      </c>
      <c r="B2594" s="1" t="n">
        <v>44209</v>
      </c>
      <c r="C2594" s="1" t="n">
        <v>46011</v>
      </c>
      <c r="D2594" t="inlineStr">
        <is>
          <t>VÄSTRA GÖTALANDS LÄN</t>
        </is>
      </c>
      <c r="E2594" t="inlineStr">
        <is>
          <t>BENGTSFORS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44001-2021</t>
        </is>
      </c>
      <c r="B2595" s="1" t="n">
        <v>44434.48554398148</v>
      </c>
      <c r="C2595" s="1" t="n">
        <v>46011</v>
      </c>
      <c r="D2595" t="inlineStr">
        <is>
          <t>VÄSTRA GÖTALANDS LÄN</t>
        </is>
      </c>
      <c r="E2595" t="inlineStr">
        <is>
          <t>VÅRGÅRDA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37177-2022</t>
        </is>
      </c>
      <c r="B2596" s="1" t="n">
        <v>44806.61495370371</v>
      </c>
      <c r="C2596" s="1" t="n">
        <v>46011</v>
      </c>
      <c r="D2596" t="inlineStr">
        <is>
          <t>VÄSTRA GÖTALANDS LÄN</t>
        </is>
      </c>
      <c r="E2596" t="inlineStr">
        <is>
          <t>BENGTSFORS</t>
        </is>
      </c>
      <c r="F2596" t="inlineStr">
        <is>
          <t>Övriga Aktiebolag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10056-2022</t>
        </is>
      </c>
      <c r="B2597" s="1" t="n">
        <v>44621</v>
      </c>
      <c r="C2597" s="1" t="n">
        <v>46011</v>
      </c>
      <c r="D2597" t="inlineStr">
        <is>
          <t>VÄSTRA GÖTALANDS LÄN</t>
        </is>
      </c>
      <c r="E2597" t="inlineStr">
        <is>
          <t>GULLSPÅNG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23129-2022</t>
        </is>
      </c>
      <c r="B2598" s="1" t="n">
        <v>44719.59027777778</v>
      </c>
      <c r="C2598" s="1" t="n">
        <v>46011</v>
      </c>
      <c r="D2598" t="inlineStr">
        <is>
          <t>VÄSTRA GÖTALANDS LÄN</t>
        </is>
      </c>
      <c r="E2598" t="inlineStr">
        <is>
          <t>ALINGSÅS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49273-2022</t>
        </is>
      </c>
      <c r="B2599" s="1" t="n">
        <v>44861.43894675926</v>
      </c>
      <c r="C2599" s="1" t="n">
        <v>46011</v>
      </c>
      <c r="D2599" t="inlineStr">
        <is>
          <t>VÄSTRA GÖTALANDS LÄN</t>
        </is>
      </c>
      <c r="E2599" t="inlineStr">
        <is>
          <t>GRÄSTORP</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22585-2022</t>
        </is>
      </c>
      <c r="B2600" s="1" t="n">
        <v>44714</v>
      </c>
      <c r="C2600" s="1" t="n">
        <v>46011</v>
      </c>
      <c r="D2600" t="inlineStr">
        <is>
          <t>VÄSTRA GÖTALANDS LÄN</t>
        </is>
      </c>
      <c r="E2600" t="inlineStr">
        <is>
          <t>SKARA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69125-2020</t>
        </is>
      </c>
      <c r="B2601" s="1" t="n">
        <v>44188</v>
      </c>
      <c r="C2601" s="1" t="n">
        <v>46011</v>
      </c>
      <c r="D2601" t="inlineStr">
        <is>
          <t>VÄSTRA GÖTALANDS LÄN</t>
        </is>
      </c>
      <c r="E2601" t="inlineStr">
        <is>
          <t>BORÅS</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69114-2020</t>
        </is>
      </c>
      <c r="B2602" s="1" t="n">
        <v>44188</v>
      </c>
      <c r="C2602" s="1" t="n">
        <v>46011</v>
      </c>
      <c r="D2602" t="inlineStr">
        <is>
          <t>VÄSTRA GÖTALANDS LÄN</t>
        </is>
      </c>
      <c r="E2602" t="inlineStr">
        <is>
          <t>FÄRGELANDA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69118-2020</t>
        </is>
      </c>
      <c r="B2603" s="1" t="n">
        <v>44188</v>
      </c>
      <c r="C2603" s="1" t="n">
        <v>46011</v>
      </c>
      <c r="D2603" t="inlineStr">
        <is>
          <t>VÄSTRA GÖTALANDS LÄN</t>
        </is>
      </c>
      <c r="E2603" t="inlineStr">
        <is>
          <t>VÅRGÅRDA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69122-2020</t>
        </is>
      </c>
      <c r="B2604" s="1" t="n">
        <v>44188</v>
      </c>
      <c r="C2604" s="1" t="n">
        <v>46011</v>
      </c>
      <c r="D2604" t="inlineStr">
        <is>
          <t>VÄSTRA GÖTALANDS LÄN</t>
        </is>
      </c>
      <c r="E2604" t="inlineStr">
        <is>
          <t>DALS-ED</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32230-2022</t>
        </is>
      </c>
      <c r="B2605" s="1" t="n">
        <v>44781.46791666667</v>
      </c>
      <c r="C2605" s="1" t="n">
        <v>46011</v>
      </c>
      <c r="D2605" t="inlineStr">
        <is>
          <t>VÄSTRA GÖTALANDS LÄN</t>
        </is>
      </c>
      <c r="E2605" t="inlineStr">
        <is>
          <t>MARK</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46391-2021</t>
        </is>
      </c>
      <c r="B2606" s="1" t="n">
        <v>44443</v>
      </c>
      <c r="C2606" s="1" t="n">
        <v>46011</v>
      </c>
      <c r="D2606" t="inlineStr">
        <is>
          <t>VÄSTRA GÖTALANDS LÄN</t>
        </is>
      </c>
      <c r="E2606" t="inlineStr">
        <is>
          <t>ALE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49188-2021</t>
        </is>
      </c>
      <c r="B2607" s="1" t="n">
        <v>44454.32574074074</v>
      </c>
      <c r="C2607" s="1" t="n">
        <v>46011</v>
      </c>
      <c r="D2607" t="inlineStr">
        <is>
          <t>VÄSTRA GÖTALANDS LÄN</t>
        </is>
      </c>
      <c r="E2607" t="inlineStr">
        <is>
          <t>SVENLJUNGA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47656-2022</t>
        </is>
      </c>
      <c r="B2608" s="1" t="n">
        <v>44854.45597222223</v>
      </c>
      <c r="C2608" s="1" t="n">
        <v>46011</v>
      </c>
      <c r="D2608" t="inlineStr">
        <is>
          <t>VÄSTRA GÖTALANDS LÄN</t>
        </is>
      </c>
      <c r="E2608" t="inlineStr">
        <is>
          <t>HJO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46231-2022</t>
        </is>
      </c>
      <c r="B2609" s="1" t="n">
        <v>44847</v>
      </c>
      <c r="C2609" s="1" t="n">
        <v>46011</v>
      </c>
      <c r="D2609" t="inlineStr">
        <is>
          <t>VÄSTRA GÖTALANDS LÄN</t>
        </is>
      </c>
      <c r="E2609" t="inlineStr">
        <is>
          <t>SKÖVDE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29373-2022</t>
        </is>
      </c>
      <c r="B2610" s="1" t="n">
        <v>44753</v>
      </c>
      <c r="C2610" s="1" t="n">
        <v>46011</v>
      </c>
      <c r="D2610" t="inlineStr">
        <is>
          <t>VÄSTRA GÖTALANDS LÄN</t>
        </is>
      </c>
      <c r="E2610" t="inlineStr">
        <is>
          <t>VÄNERSBORG</t>
        </is>
      </c>
      <c r="F2610" t="inlineStr">
        <is>
          <t>Sveaskog</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45986-2021</t>
        </is>
      </c>
      <c r="B2611" s="1" t="n">
        <v>44441</v>
      </c>
      <c r="C2611" s="1" t="n">
        <v>46011</v>
      </c>
      <c r="D2611" t="inlineStr">
        <is>
          <t>VÄSTRA GÖTALANDS LÄN</t>
        </is>
      </c>
      <c r="E2611" t="inlineStr">
        <is>
          <t>ALE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4084-2021</t>
        </is>
      </c>
      <c r="B2612" s="1" t="n">
        <v>44222</v>
      </c>
      <c r="C2612" s="1" t="n">
        <v>46011</v>
      </c>
      <c r="D2612" t="inlineStr">
        <is>
          <t>VÄSTRA GÖTALANDS LÄN</t>
        </is>
      </c>
      <c r="E2612" t="inlineStr">
        <is>
          <t>FÄRGELANDA</t>
        </is>
      </c>
      <c r="G2612" t="n">
        <v>14.8</v>
      </c>
      <c r="H2612" t="n">
        <v>0</v>
      </c>
      <c r="I2612" t="n">
        <v>0</v>
      </c>
      <c r="J2612" t="n">
        <v>0</v>
      </c>
      <c r="K2612" t="n">
        <v>0</v>
      </c>
      <c r="L2612" t="n">
        <v>0</v>
      </c>
      <c r="M2612" t="n">
        <v>0</v>
      </c>
      <c r="N2612" t="n">
        <v>0</v>
      </c>
      <c r="O2612" t="n">
        <v>0</v>
      </c>
      <c r="P2612" t="n">
        <v>0</v>
      </c>
      <c r="Q2612" t="n">
        <v>0</v>
      </c>
      <c r="R2612" s="2" t="inlineStr"/>
    </row>
    <row r="2613" ht="15" customHeight="1">
      <c r="A2613" t="inlineStr">
        <is>
          <t>A 54275-2022</t>
        </is>
      </c>
      <c r="B2613" s="1" t="n">
        <v>44882.34469907408</v>
      </c>
      <c r="C2613" s="1" t="n">
        <v>46011</v>
      </c>
      <c r="D2613" t="inlineStr">
        <is>
          <t>VÄSTRA GÖTALANDS LÄN</t>
        </is>
      </c>
      <c r="E2613" t="inlineStr">
        <is>
          <t>BORÅS</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1352-2021</t>
        </is>
      </c>
      <c r="B2614" s="1" t="n">
        <v>44208</v>
      </c>
      <c r="C2614" s="1" t="n">
        <v>46011</v>
      </c>
      <c r="D2614" t="inlineStr">
        <is>
          <t>VÄSTRA GÖTALANDS LÄN</t>
        </is>
      </c>
      <c r="E2614" t="inlineStr">
        <is>
          <t>STRÖMSTAD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34676-2022</t>
        </is>
      </c>
      <c r="B2615" s="1" t="n">
        <v>44795.48758101852</v>
      </c>
      <c r="C2615" s="1" t="n">
        <v>46011</v>
      </c>
      <c r="D2615" t="inlineStr">
        <is>
          <t>VÄSTRA GÖTALANDS LÄN</t>
        </is>
      </c>
      <c r="E2615" t="inlineStr">
        <is>
          <t>KARLSBORG</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34684-2022</t>
        </is>
      </c>
      <c r="B2616" s="1" t="n">
        <v>44795.51157407407</v>
      </c>
      <c r="C2616" s="1" t="n">
        <v>46011</v>
      </c>
      <c r="D2616" t="inlineStr">
        <is>
          <t>VÄSTRA GÖTALANDS LÄN</t>
        </is>
      </c>
      <c r="E2616" t="inlineStr">
        <is>
          <t>ALINGSÅS</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719-2021</t>
        </is>
      </c>
      <c r="B2617" s="1" t="n">
        <v>44204</v>
      </c>
      <c r="C2617" s="1" t="n">
        <v>46011</v>
      </c>
      <c r="D2617" t="inlineStr">
        <is>
          <t>VÄSTRA GÖTALANDS LÄN</t>
        </is>
      </c>
      <c r="E2617" t="inlineStr">
        <is>
          <t>GÖTENE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7748-2021</t>
        </is>
      </c>
      <c r="B2618" s="1" t="n">
        <v>44242</v>
      </c>
      <c r="C2618" s="1" t="n">
        <v>46011</v>
      </c>
      <c r="D2618" t="inlineStr">
        <is>
          <t>VÄSTRA GÖTALANDS LÄN</t>
        </is>
      </c>
      <c r="E2618" t="inlineStr">
        <is>
          <t>TANUM</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40940-2022</t>
        </is>
      </c>
      <c r="B2619" s="1" t="n">
        <v>44823</v>
      </c>
      <c r="C2619" s="1" t="n">
        <v>46011</v>
      </c>
      <c r="D2619" t="inlineStr">
        <is>
          <t>VÄSTRA GÖTALANDS LÄN</t>
        </is>
      </c>
      <c r="E2619" t="inlineStr">
        <is>
          <t>MUNKEDAL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9726-2021</t>
        </is>
      </c>
      <c r="B2620" s="1" t="n">
        <v>44252</v>
      </c>
      <c r="C2620" s="1" t="n">
        <v>46011</v>
      </c>
      <c r="D2620" t="inlineStr">
        <is>
          <t>VÄSTRA GÖTALANDS LÄN</t>
        </is>
      </c>
      <c r="E2620" t="inlineStr">
        <is>
          <t>ALINGSÅS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5530-2021</t>
        </is>
      </c>
      <c r="B2621" s="1" t="n">
        <v>44230</v>
      </c>
      <c r="C2621" s="1" t="n">
        <v>46011</v>
      </c>
      <c r="D2621" t="inlineStr">
        <is>
          <t>VÄSTRA GÖTALANDS LÄN</t>
        </is>
      </c>
      <c r="E2621" t="inlineStr">
        <is>
          <t>TÖREBODA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940-2021</t>
        </is>
      </c>
      <c r="B2622" s="1" t="n">
        <v>44204</v>
      </c>
      <c r="C2622" s="1" t="n">
        <v>46011</v>
      </c>
      <c r="D2622" t="inlineStr">
        <is>
          <t>VÄSTRA GÖTALANDS LÄN</t>
        </is>
      </c>
      <c r="E2622" t="inlineStr">
        <is>
          <t>ULRICEHAMN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22557-2021</t>
        </is>
      </c>
      <c r="B2623" s="1" t="n">
        <v>44322</v>
      </c>
      <c r="C2623" s="1" t="n">
        <v>46011</v>
      </c>
      <c r="D2623" t="inlineStr">
        <is>
          <t>VÄSTRA GÖTALANDS LÄN</t>
        </is>
      </c>
      <c r="E2623" t="inlineStr">
        <is>
          <t>VÄNERSBORG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53609-2021</t>
        </is>
      </c>
      <c r="B2624" s="1" t="n">
        <v>44469.3720949074</v>
      </c>
      <c r="C2624" s="1" t="n">
        <v>46011</v>
      </c>
      <c r="D2624" t="inlineStr">
        <is>
          <t>VÄSTRA GÖTALANDS LÄN</t>
        </is>
      </c>
      <c r="E2624" t="inlineStr">
        <is>
          <t>MARK</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3293-2021</t>
        </is>
      </c>
      <c r="B2625" s="1" t="n">
        <v>44217</v>
      </c>
      <c r="C2625" s="1" t="n">
        <v>46011</v>
      </c>
      <c r="D2625" t="inlineStr">
        <is>
          <t>VÄSTRA GÖTALANDS LÄN</t>
        </is>
      </c>
      <c r="E2625" t="inlineStr">
        <is>
          <t>ALE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45943-2021</t>
        </is>
      </c>
      <c r="B2626" s="1" t="n">
        <v>44441</v>
      </c>
      <c r="C2626" s="1" t="n">
        <v>46011</v>
      </c>
      <c r="D2626" t="inlineStr">
        <is>
          <t>VÄSTRA GÖTALANDS LÄN</t>
        </is>
      </c>
      <c r="E2626" t="inlineStr">
        <is>
          <t>VARA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46835-2021</t>
        </is>
      </c>
      <c r="B2627" s="1" t="n">
        <v>44446</v>
      </c>
      <c r="C2627" s="1" t="n">
        <v>46011</v>
      </c>
      <c r="D2627" t="inlineStr">
        <is>
          <t>VÄSTRA GÖTALANDS LÄN</t>
        </is>
      </c>
      <c r="E2627" t="inlineStr">
        <is>
          <t>MARIESTAD</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47605-2021</t>
        </is>
      </c>
      <c r="B2628" s="1" t="n">
        <v>44448</v>
      </c>
      <c r="C2628" s="1" t="n">
        <v>46011</v>
      </c>
      <c r="D2628" t="inlineStr">
        <is>
          <t>VÄSTRA GÖTALANDS LÄN</t>
        </is>
      </c>
      <c r="E2628" t="inlineStr">
        <is>
          <t>ULRICEHAMN</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54309-2021</t>
        </is>
      </c>
      <c r="B2629" s="1" t="n">
        <v>44472</v>
      </c>
      <c r="C2629" s="1" t="n">
        <v>46011</v>
      </c>
      <c r="D2629" t="inlineStr">
        <is>
          <t>VÄSTRA GÖTALANDS LÄN</t>
        </is>
      </c>
      <c r="E2629" t="inlineStr">
        <is>
          <t>BENGTSFORS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54313-2021</t>
        </is>
      </c>
      <c r="B2630" s="1" t="n">
        <v>44472</v>
      </c>
      <c r="C2630" s="1" t="n">
        <v>46011</v>
      </c>
      <c r="D2630" t="inlineStr">
        <is>
          <t>VÄSTRA GÖTALANDS LÄN</t>
        </is>
      </c>
      <c r="E2630" t="inlineStr">
        <is>
          <t>LYSEKIL</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52359-2021</t>
        </is>
      </c>
      <c r="B2631" s="1" t="n">
        <v>44465.35538194444</v>
      </c>
      <c r="C2631" s="1" t="n">
        <v>46011</v>
      </c>
      <c r="D2631" t="inlineStr">
        <is>
          <t>VÄSTRA GÖTALANDS LÄN</t>
        </is>
      </c>
      <c r="E2631" t="inlineStr">
        <is>
          <t>VÅRGÅRDA</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52687-2021</t>
        </is>
      </c>
      <c r="B2632" s="1" t="n">
        <v>44466.83081018519</v>
      </c>
      <c r="C2632" s="1" t="n">
        <v>46011</v>
      </c>
      <c r="D2632" t="inlineStr">
        <is>
          <t>VÄSTRA GÖTALANDS LÄN</t>
        </is>
      </c>
      <c r="E2632" t="inlineStr">
        <is>
          <t>TROLLHÄTTAN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47826-2021</t>
        </is>
      </c>
      <c r="B2633" s="1" t="n">
        <v>44448</v>
      </c>
      <c r="C2633" s="1" t="n">
        <v>46011</v>
      </c>
      <c r="D2633" t="inlineStr">
        <is>
          <t>VÄSTRA GÖTALANDS LÄN</t>
        </is>
      </c>
      <c r="E2633" t="inlineStr">
        <is>
          <t>MARK</t>
        </is>
      </c>
      <c r="F2633" t="inlineStr">
        <is>
          <t>Kyrkan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49242-2021</t>
        </is>
      </c>
      <c r="B2634" s="1" t="n">
        <v>44453</v>
      </c>
      <c r="C2634" s="1" t="n">
        <v>46011</v>
      </c>
      <c r="D2634" t="inlineStr">
        <is>
          <t>VÄSTRA GÖTALANDS LÄN</t>
        </is>
      </c>
      <c r="E2634" t="inlineStr">
        <is>
          <t>STRÖMSTAD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5152-2021</t>
        </is>
      </c>
      <c r="B2635" s="1" t="n">
        <v>44228</v>
      </c>
      <c r="C2635" s="1" t="n">
        <v>46011</v>
      </c>
      <c r="D2635" t="inlineStr">
        <is>
          <t>VÄSTRA GÖTALANDS LÄN</t>
        </is>
      </c>
      <c r="E2635" t="inlineStr">
        <is>
          <t>MARIESTAD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17568-2021</t>
        </is>
      </c>
      <c r="B2636" s="1" t="n">
        <v>44299</v>
      </c>
      <c r="C2636" s="1" t="n">
        <v>46011</v>
      </c>
      <c r="D2636" t="inlineStr">
        <is>
          <t>VÄSTRA GÖTALANDS LÄN</t>
        </is>
      </c>
      <c r="E2636" t="inlineStr">
        <is>
          <t>ULRICEHAMN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4585-2021</t>
        </is>
      </c>
      <c r="B2637" s="1" t="n">
        <v>44223</v>
      </c>
      <c r="C2637" s="1" t="n">
        <v>46011</v>
      </c>
      <c r="D2637" t="inlineStr">
        <is>
          <t>VÄSTRA GÖTALANDS LÄN</t>
        </is>
      </c>
      <c r="E2637" t="inlineStr">
        <is>
          <t>VÅRGÅRDA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17330-2021</t>
        </is>
      </c>
      <c r="B2638" s="1" t="n">
        <v>44298</v>
      </c>
      <c r="C2638" s="1" t="n">
        <v>46011</v>
      </c>
      <c r="D2638" t="inlineStr">
        <is>
          <t>VÄSTRA GÖTALANDS LÄN</t>
        </is>
      </c>
      <c r="E2638" t="inlineStr">
        <is>
          <t>STRÖMSTAD</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50724-2021</t>
        </is>
      </c>
      <c r="B2639" s="1" t="n">
        <v>44456</v>
      </c>
      <c r="C2639" s="1" t="n">
        <v>46011</v>
      </c>
      <c r="D2639" t="inlineStr">
        <is>
          <t>VÄSTRA GÖTALANDS LÄN</t>
        </is>
      </c>
      <c r="E2639" t="inlineStr">
        <is>
          <t>TIDAHOLM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50728-2021</t>
        </is>
      </c>
      <c r="B2640" s="1" t="n">
        <v>44456</v>
      </c>
      <c r="C2640" s="1" t="n">
        <v>46011</v>
      </c>
      <c r="D2640" t="inlineStr">
        <is>
          <t>VÄSTRA GÖTALANDS LÄN</t>
        </is>
      </c>
      <c r="E2640" t="inlineStr">
        <is>
          <t>TIDAHOLM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50738-2021</t>
        </is>
      </c>
      <c r="B2641" s="1" t="n">
        <v>44456</v>
      </c>
      <c r="C2641" s="1" t="n">
        <v>46011</v>
      </c>
      <c r="D2641" t="inlineStr">
        <is>
          <t>VÄSTRA GÖTALANDS LÄN</t>
        </is>
      </c>
      <c r="E2641" t="inlineStr">
        <is>
          <t>HJO</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50741-2021</t>
        </is>
      </c>
      <c r="B2642" s="1" t="n">
        <v>44460</v>
      </c>
      <c r="C2642" s="1" t="n">
        <v>46011</v>
      </c>
      <c r="D2642" t="inlineStr">
        <is>
          <t>VÄSTRA GÖTALANDS LÄN</t>
        </is>
      </c>
      <c r="E2642" t="inlineStr">
        <is>
          <t>SKARA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16193-2021</t>
        </is>
      </c>
      <c r="B2643" s="1" t="n">
        <v>44292</v>
      </c>
      <c r="C2643" s="1" t="n">
        <v>46011</v>
      </c>
      <c r="D2643" t="inlineStr">
        <is>
          <t>VÄSTRA GÖTALANDS LÄN</t>
        </is>
      </c>
      <c r="E2643" t="inlineStr">
        <is>
          <t>TANUM</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24609-2021</t>
        </is>
      </c>
      <c r="B2644" s="1" t="n">
        <v>44340</v>
      </c>
      <c r="C2644" s="1" t="n">
        <v>46011</v>
      </c>
      <c r="D2644" t="inlineStr">
        <is>
          <t>VÄSTRA GÖTALANDS LÄN</t>
        </is>
      </c>
      <c r="E2644" t="inlineStr">
        <is>
          <t>BENGTSFORS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17737-2021</t>
        </is>
      </c>
      <c r="B2645" s="1" t="n">
        <v>44300</v>
      </c>
      <c r="C2645" s="1" t="n">
        <v>46011</v>
      </c>
      <c r="D2645" t="inlineStr">
        <is>
          <t>VÄSTRA GÖTALANDS LÄN</t>
        </is>
      </c>
      <c r="E2645" t="inlineStr">
        <is>
          <t>ESSUNGA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55513-2021</t>
        </is>
      </c>
      <c r="B2646" s="1" t="n">
        <v>44475</v>
      </c>
      <c r="C2646" s="1" t="n">
        <v>46011</v>
      </c>
      <c r="D2646" t="inlineStr">
        <is>
          <t>VÄSTRA GÖTALANDS LÄN</t>
        </is>
      </c>
      <c r="E2646" t="inlineStr">
        <is>
          <t>FALKÖPING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8712-2021</t>
        </is>
      </c>
      <c r="B2647" s="1" t="n">
        <v>44246</v>
      </c>
      <c r="C2647" s="1" t="n">
        <v>46011</v>
      </c>
      <c r="D2647" t="inlineStr">
        <is>
          <t>VÄSTRA GÖTALANDS LÄN</t>
        </is>
      </c>
      <c r="E2647" t="inlineStr">
        <is>
          <t>BORÅS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65115-2021</t>
        </is>
      </c>
      <c r="B2648" s="1" t="n">
        <v>44515.41927083334</v>
      </c>
      <c r="C2648" s="1" t="n">
        <v>46011</v>
      </c>
      <c r="D2648" t="inlineStr">
        <is>
          <t>VÄSTRA GÖTALANDS LÄN</t>
        </is>
      </c>
      <c r="E2648" t="inlineStr">
        <is>
          <t>SVENLJUNGA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22255-2021</t>
        </is>
      </c>
      <c r="B2649" s="1" t="n">
        <v>44326</v>
      </c>
      <c r="C2649" s="1" t="n">
        <v>46011</v>
      </c>
      <c r="D2649" t="inlineStr">
        <is>
          <t>VÄSTRA GÖTALANDS LÄN</t>
        </is>
      </c>
      <c r="E2649" t="inlineStr">
        <is>
          <t>ORUST</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22683-2021</t>
        </is>
      </c>
      <c r="B2650" s="1" t="n">
        <v>44327.58306712963</v>
      </c>
      <c r="C2650" s="1" t="n">
        <v>46011</v>
      </c>
      <c r="D2650" t="inlineStr">
        <is>
          <t>VÄSTRA GÖTALANDS LÄN</t>
        </is>
      </c>
      <c r="E2650" t="inlineStr">
        <is>
          <t>ESSUNGA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16434-2021</t>
        </is>
      </c>
      <c r="B2651" s="1" t="n">
        <v>44293</v>
      </c>
      <c r="C2651" s="1" t="n">
        <v>46011</v>
      </c>
      <c r="D2651" t="inlineStr">
        <is>
          <t>VÄSTRA GÖTALANDS LÄN</t>
        </is>
      </c>
      <c r="E2651" t="inlineStr">
        <is>
          <t>LIDKÖPING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22628-2021</t>
        </is>
      </c>
      <c r="B2652" s="1" t="n">
        <v>44326</v>
      </c>
      <c r="C2652" s="1" t="n">
        <v>46011</v>
      </c>
      <c r="D2652" t="inlineStr">
        <is>
          <t>VÄSTRA GÖTALANDS LÄN</t>
        </is>
      </c>
      <c r="E2652" t="inlineStr">
        <is>
          <t>BENGTSFORS</t>
        </is>
      </c>
      <c r="F2652" t="inlineStr">
        <is>
          <t>Bergvik skog väst AB</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65095-2021</t>
        </is>
      </c>
      <c r="B2653" s="1" t="n">
        <v>44515.39005787037</v>
      </c>
      <c r="C2653" s="1" t="n">
        <v>46011</v>
      </c>
      <c r="D2653" t="inlineStr">
        <is>
          <t>VÄSTRA GÖTALANDS LÄN</t>
        </is>
      </c>
      <c r="E2653" t="inlineStr">
        <is>
          <t>TIBRO</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53650-2021</t>
        </is>
      </c>
      <c r="B2654" s="1" t="n">
        <v>44469.43070601852</v>
      </c>
      <c r="C2654" s="1" t="n">
        <v>46011</v>
      </c>
      <c r="D2654" t="inlineStr">
        <is>
          <t>VÄSTRA GÖTALANDS LÄN</t>
        </is>
      </c>
      <c r="E2654" t="inlineStr">
        <is>
          <t>VÅRGÅRDA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53781-2021</t>
        </is>
      </c>
      <c r="B2655" s="1" t="n">
        <v>44469</v>
      </c>
      <c r="C2655" s="1" t="n">
        <v>46011</v>
      </c>
      <c r="D2655" t="inlineStr">
        <is>
          <t>VÄSTRA GÖTALANDS LÄN</t>
        </is>
      </c>
      <c r="E2655" t="inlineStr">
        <is>
          <t>TRANEMO</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4311-2022</t>
        </is>
      </c>
      <c r="B2656" s="1" t="n">
        <v>44588.83569444445</v>
      </c>
      <c r="C2656" s="1" t="n">
        <v>46011</v>
      </c>
      <c r="D2656" t="inlineStr">
        <is>
          <t>VÄSTRA GÖTALANDS LÄN</t>
        </is>
      </c>
      <c r="E2656" t="inlineStr">
        <is>
          <t>TIDAHOLM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4409-2022</t>
        </is>
      </c>
      <c r="B2657" s="1" t="n">
        <v>44589.46652777777</v>
      </c>
      <c r="C2657" s="1" t="n">
        <v>46011</v>
      </c>
      <c r="D2657" t="inlineStr">
        <is>
          <t>VÄSTRA GÖTALANDS LÄN</t>
        </is>
      </c>
      <c r="E2657" t="inlineStr">
        <is>
          <t>SKARA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31195-2021</t>
        </is>
      </c>
      <c r="B2658" s="1" t="n">
        <v>44368.62329861111</v>
      </c>
      <c r="C2658" s="1" t="n">
        <v>46011</v>
      </c>
      <c r="D2658" t="inlineStr">
        <is>
          <t>VÄSTRA GÖTALANDS LÄN</t>
        </is>
      </c>
      <c r="E2658" t="inlineStr">
        <is>
          <t>TÖREBODA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68517-2021</t>
        </is>
      </c>
      <c r="B2659" s="1" t="n">
        <v>44525</v>
      </c>
      <c r="C2659" s="1" t="n">
        <v>46011</v>
      </c>
      <c r="D2659" t="inlineStr">
        <is>
          <t>VÄSTRA GÖTALANDS LÄN</t>
        </is>
      </c>
      <c r="E2659" t="inlineStr">
        <is>
          <t>GULLSPÅNG</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25863-2021</t>
        </is>
      </c>
      <c r="B2660" s="1" t="n">
        <v>44343</v>
      </c>
      <c r="C2660" s="1" t="n">
        <v>46011</v>
      </c>
      <c r="D2660" t="inlineStr">
        <is>
          <t>VÄSTRA GÖTALANDS LÄN</t>
        </is>
      </c>
      <c r="E2660" t="inlineStr">
        <is>
          <t>VARA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20173-2021</t>
        </is>
      </c>
      <c r="B2661" s="1" t="n">
        <v>44314</v>
      </c>
      <c r="C2661" s="1" t="n">
        <v>46011</v>
      </c>
      <c r="D2661" t="inlineStr">
        <is>
          <t>VÄSTRA GÖTALANDS LÄN</t>
        </is>
      </c>
      <c r="E2661" t="inlineStr">
        <is>
          <t>TROLLHÄTTAN</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1017-2022</t>
        </is>
      </c>
      <c r="B2662" s="1" t="n">
        <v>44571.62260416667</v>
      </c>
      <c r="C2662" s="1" t="n">
        <v>46011</v>
      </c>
      <c r="D2662" t="inlineStr">
        <is>
          <t>VÄSTRA GÖTALANDS LÄN</t>
        </is>
      </c>
      <c r="E2662" t="inlineStr">
        <is>
          <t>MARK</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5174-2022</t>
        </is>
      </c>
      <c r="B2663" s="1" t="n">
        <v>44594</v>
      </c>
      <c r="C2663" s="1" t="n">
        <v>46011</v>
      </c>
      <c r="D2663" t="inlineStr">
        <is>
          <t>VÄSTRA GÖTALANDS LÄN</t>
        </is>
      </c>
      <c r="E2663" t="inlineStr">
        <is>
          <t>VARA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7235-2021</t>
        </is>
      </c>
      <c r="B2664" s="1" t="n">
        <v>44238</v>
      </c>
      <c r="C2664" s="1" t="n">
        <v>46011</v>
      </c>
      <c r="D2664" t="inlineStr">
        <is>
          <t>VÄSTRA GÖTALANDS LÄN</t>
        </is>
      </c>
      <c r="E2664" t="inlineStr">
        <is>
          <t>ULRICEHAMN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18660-2021</t>
        </is>
      </c>
      <c r="B2665" s="1" t="n">
        <v>44306</v>
      </c>
      <c r="C2665" s="1" t="n">
        <v>46011</v>
      </c>
      <c r="D2665" t="inlineStr">
        <is>
          <t>VÄSTRA GÖTALANDS LÄN</t>
        </is>
      </c>
      <c r="E2665" t="inlineStr">
        <is>
          <t>SKÖVDE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34579-2021</t>
        </is>
      </c>
      <c r="B2666" s="1" t="n">
        <v>44382</v>
      </c>
      <c r="C2666" s="1" t="n">
        <v>46011</v>
      </c>
      <c r="D2666" t="inlineStr">
        <is>
          <t>VÄSTRA GÖTALANDS LÄN</t>
        </is>
      </c>
      <c r="E2666" t="inlineStr">
        <is>
          <t>TIDAHOLM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9953-2022</t>
        </is>
      </c>
      <c r="B2667" s="1" t="n">
        <v>44621.28681712963</v>
      </c>
      <c r="C2667" s="1" t="n">
        <v>46011</v>
      </c>
      <c r="D2667" t="inlineStr">
        <is>
          <t>VÄSTRA GÖTALANDS LÄN</t>
        </is>
      </c>
      <c r="E2667" t="inlineStr">
        <is>
          <t>ULRICEHAMN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26600-2021</t>
        </is>
      </c>
      <c r="B2668" s="1" t="n">
        <v>44348.61502314815</v>
      </c>
      <c r="C2668" s="1" t="n">
        <v>46011</v>
      </c>
      <c r="D2668" t="inlineStr">
        <is>
          <t>VÄSTRA GÖTALANDS LÄN</t>
        </is>
      </c>
      <c r="E2668" t="inlineStr">
        <is>
          <t>MARK</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26623-2021</t>
        </is>
      </c>
      <c r="B2669" s="1" t="n">
        <v>44348.65982638889</v>
      </c>
      <c r="C2669" s="1" t="n">
        <v>46011</v>
      </c>
      <c r="D2669" t="inlineStr">
        <is>
          <t>VÄSTRA GÖTALANDS LÄN</t>
        </is>
      </c>
      <c r="E2669" t="inlineStr">
        <is>
          <t>ESSUNGA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13389-2021</t>
        </is>
      </c>
      <c r="B2670" s="1" t="n">
        <v>44273.42744212963</v>
      </c>
      <c r="C2670" s="1" t="n">
        <v>46011</v>
      </c>
      <c r="D2670" t="inlineStr">
        <is>
          <t>VÄSTRA GÖTALANDS LÄN</t>
        </is>
      </c>
      <c r="E2670" t="inlineStr">
        <is>
          <t>MARK</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64724-2021</t>
        </is>
      </c>
      <c r="B2671" s="1" t="n">
        <v>44511</v>
      </c>
      <c r="C2671" s="1" t="n">
        <v>46011</v>
      </c>
      <c r="D2671" t="inlineStr">
        <is>
          <t>VÄSTRA GÖTALANDS LÄN</t>
        </is>
      </c>
      <c r="E2671" t="inlineStr">
        <is>
          <t>TIDAHOLM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63333-2021</t>
        </is>
      </c>
      <c r="B2672" s="1" t="n">
        <v>44506</v>
      </c>
      <c r="C2672" s="1" t="n">
        <v>46011</v>
      </c>
      <c r="D2672" t="inlineStr">
        <is>
          <t>VÄSTRA GÖTALANDS LÄN</t>
        </is>
      </c>
      <c r="E2672" t="inlineStr">
        <is>
          <t>TANUM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15803-2021</t>
        </is>
      </c>
      <c r="B2673" s="1" t="n">
        <v>44286.61305555556</v>
      </c>
      <c r="C2673" s="1" t="n">
        <v>46011</v>
      </c>
      <c r="D2673" t="inlineStr">
        <is>
          <t>VÄSTRA GÖTALANDS LÄN</t>
        </is>
      </c>
      <c r="E2673" t="inlineStr">
        <is>
          <t>MARK</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8372-2021</t>
        </is>
      </c>
      <c r="B2674" s="1" t="n">
        <v>44245</v>
      </c>
      <c r="C2674" s="1" t="n">
        <v>46011</v>
      </c>
      <c r="D2674" t="inlineStr">
        <is>
          <t>VÄSTRA GÖTALANDS LÄN</t>
        </is>
      </c>
      <c r="E2674" t="inlineStr">
        <is>
          <t>BORÅS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69196-2021</t>
        </is>
      </c>
      <c r="B2675" s="1" t="n">
        <v>44531.34472222222</v>
      </c>
      <c r="C2675" s="1" t="n">
        <v>46011</v>
      </c>
      <c r="D2675" t="inlineStr">
        <is>
          <t>VÄSTRA GÖTALANDS LÄN</t>
        </is>
      </c>
      <c r="E2675" t="inlineStr">
        <is>
          <t>ORUST</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68634-2021</t>
        </is>
      </c>
      <c r="B2676" s="1" t="n">
        <v>44529.59217592593</v>
      </c>
      <c r="C2676" s="1" t="n">
        <v>46011</v>
      </c>
      <c r="D2676" t="inlineStr">
        <is>
          <t>VÄSTRA GÖTALANDS LÄN</t>
        </is>
      </c>
      <c r="E2676" t="inlineStr">
        <is>
          <t>BORÅS</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9852-2021</t>
        </is>
      </c>
      <c r="B2677" s="1" t="n">
        <v>44253</v>
      </c>
      <c r="C2677" s="1" t="n">
        <v>46011</v>
      </c>
      <c r="D2677" t="inlineStr">
        <is>
          <t>VÄSTRA GÖTALANDS LÄN</t>
        </is>
      </c>
      <c r="E2677" t="inlineStr">
        <is>
          <t>HERRLJUNGA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11442-2021</t>
        </is>
      </c>
      <c r="B2678" s="1" t="n">
        <v>44264.26887731482</v>
      </c>
      <c r="C2678" s="1" t="n">
        <v>46011</v>
      </c>
      <c r="D2678" t="inlineStr">
        <is>
          <t>VÄSTRA GÖTALANDS LÄN</t>
        </is>
      </c>
      <c r="E2678" t="inlineStr">
        <is>
          <t>MARIESTAD</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25738-2021</t>
        </is>
      </c>
      <c r="B2679" s="1" t="n">
        <v>44343</v>
      </c>
      <c r="C2679" s="1" t="n">
        <v>46011</v>
      </c>
      <c r="D2679" t="inlineStr">
        <is>
          <t>VÄSTRA GÖTALANDS LÄN</t>
        </is>
      </c>
      <c r="E2679" t="inlineStr">
        <is>
          <t>BENGTSFORS</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27872-2021</t>
        </is>
      </c>
      <c r="B2680" s="1" t="n">
        <v>44354.6397337963</v>
      </c>
      <c r="C2680" s="1" t="n">
        <v>46011</v>
      </c>
      <c r="D2680" t="inlineStr">
        <is>
          <t>VÄSTRA GÖTALANDS LÄN</t>
        </is>
      </c>
      <c r="E2680" t="inlineStr">
        <is>
          <t>HJO</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22156-2021</t>
        </is>
      </c>
      <c r="B2681" s="1" t="n">
        <v>44325</v>
      </c>
      <c r="C2681" s="1" t="n">
        <v>46011</v>
      </c>
      <c r="D2681" t="inlineStr">
        <is>
          <t>VÄSTRA GÖTALANDS LÄN</t>
        </is>
      </c>
      <c r="E2681" t="inlineStr">
        <is>
          <t>ÅMÅL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22162-2021</t>
        </is>
      </c>
      <c r="B2682" s="1" t="n">
        <v>44325</v>
      </c>
      <c r="C2682" s="1" t="n">
        <v>46011</v>
      </c>
      <c r="D2682" t="inlineStr">
        <is>
          <t>VÄSTRA GÖTALANDS LÄN</t>
        </is>
      </c>
      <c r="E2682" t="inlineStr">
        <is>
          <t>MUNKEDAL</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45520-2021</t>
        </is>
      </c>
      <c r="B2683" s="1" t="n">
        <v>44440</v>
      </c>
      <c r="C2683" s="1" t="n">
        <v>46011</v>
      </c>
      <c r="D2683" t="inlineStr">
        <is>
          <t>VÄSTRA GÖTALANDS LÄN</t>
        </is>
      </c>
      <c r="E2683" t="inlineStr">
        <is>
          <t>MARIESTAD</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34595-2021</t>
        </is>
      </c>
      <c r="B2684" s="1" t="n">
        <v>44382</v>
      </c>
      <c r="C2684" s="1" t="n">
        <v>46011</v>
      </c>
      <c r="D2684" t="inlineStr">
        <is>
          <t>VÄSTRA GÖTALANDS LÄN</t>
        </is>
      </c>
      <c r="E2684" t="inlineStr">
        <is>
          <t>VÄNERSBORG</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48311-2021</t>
        </is>
      </c>
      <c r="B2685" s="1" t="n">
        <v>44450</v>
      </c>
      <c r="C2685" s="1" t="n">
        <v>46011</v>
      </c>
      <c r="D2685" t="inlineStr">
        <is>
          <t>VÄSTRA GÖTALANDS LÄN</t>
        </is>
      </c>
      <c r="E2685" t="inlineStr">
        <is>
          <t>KUNGÄLV</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21770-2021</t>
        </is>
      </c>
      <c r="B2686" s="1" t="n">
        <v>44321</v>
      </c>
      <c r="C2686" s="1" t="n">
        <v>46011</v>
      </c>
      <c r="D2686" t="inlineStr">
        <is>
          <t>VÄSTRA GÖTALANDS LÄN</t>
        </is>
      </c>
      <c r="E2686" t="inlineStr">
        <is>
          <t>GULLSPÅNG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24291-2021</t>
        </is>
      </c>
      <c r="B2687" s="1" t="n">
        <v>44337.31774305556</v>
      </c>
      <c r="C2687" s="1" t="n">
        <v>46011</v>
      </c>
      <c r="D2687" t="inlineStr">
        <is>
          <t>VÄSTRA GÖTALANDS LÄN</t>
        </is>
      </c>
      <c r="E2687" t="inlineStr">
        <is>
          <t>LILLA EDET</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67535-2021</t>
        </is>
      </c>
      <c r="B2688" s="1" t="n">
        <v>44524.54479166667</v>
      </c>
      <c r="C2688" s="1" t="n">
        <v>46011</v>
      </c>
      <c r="D2688" t="inlineStr">
        <is>
          <t>VÄSTRA GÖTALANDS LÄN</t>
        </is>
      </c>
      <c r="E2688" t="inlineStr">
        <is>
          <t>TROLLHÄTTAN</t>
        </is>
      </c>
      <c r="F2688" t="inlineStr">
        <is>
          <t>Kyrkan</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364-2021</t>
        </is>
      </c>
      <c r="B2689" s="1" t="n">
        <v>44201.50331018519</v>
      </c>
      <c r="C2689" s="1" t="n">
        <v>46011</v>
      </c>
      <c r="D2689" t="inlineStr">
        <is>
          <t>VÄSTRA GÖTALANDS LÄN</t>
        </is>
      </c>
      <c r="E2689" t="inlineStr">
        <is>
          <t>HERRLJUNGA</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17322-2021</t>
        </is>
      </c>
      <c r="B2690" s="1" t="n">
        <v>44298.63880787037</v>
      </c>
      <c r="C2690" s="1" t="n">
        <v>46011</v>
      </c>
      <c r="D2690" t="inlineStr">
        <is>
          <t>VÄSTRA GÖTALANDS LÄN</t>
        </is>
      </c>
      <c r="E2690" t="inlineStr">
        <is>
          <t>TROLLHÄTTAN</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10574-2021</t>
        </is>
      </c>
      <c r="B2691" s="1" t="n">
        <v>44258.4528587963</v>
      </c>
      <c r="C2691" s="1" t="n">
        <v>46011</v>
      </c>
      <c r="D2691" t="inlineStr">
        <is>
          <t>VÄSTRA GÖTALANDS LÄN</t>
        </is>
      </c>
      <c r="E2691" t="inlineStr">
        <is>
          <t>LYSEKIL</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418-2021</t>
        </is>
      </c>
      <c r="B2692" s="1" t="n">
        <v>44201.67728009259</v>
      </c>
      <c r="C2692" s="1" t="n">
        <v>46011</v>
      </c>
      <c r="D2692" t="inlineStr">
        <is>
          <t>VÄSTRA GÖTALANDS LÄN</t>
        </is>
      </c>
      <c r="E2692" t="inlineStr">
        <is>
          <t>TANUM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71648-2021</t>
        </is>
      </c>
      <c r="B2693" s="1" t="n">
        <v>44543.354375</v>
      </c>
      <c r="C2693" s="1" t="n">
        <v>46011</v>
      </c>
      <c r="D2693" t="inlineStr">
        <is>
          <t>VÄSTRA GÖTALANDS LÄN</t>
        </is>
      </c>
      <c r="E2693" t="inlineStr">
        <is>
          <t>HÄRRYDA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17393-2021</t>
        </is>
      </c>
      <c r="B2694" s="1" t="n">
        <v>44299</v>
      </c>
      <c r="C2694" s="1" t="n">
        <v>46011</v>
      </c>
      <c r="D2694" t="inlineStr">
        <is>
          <t>VÄSTRA GÖTALANDS LÄN</t>
        </is>
      </c>
      <c r="E2694" t="inlineStr">
        <is>
          <t>VÅRGÅRDA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17440-2021</t>
        </is>
      </c>
      <c r="B2695" s="1" t="n">
        <v>44299</v>
      </c>
      <c r="C2695" s="1" t="n">
        <v>46011</v>
      </c>
      <c r="D2695" t="inlineStr">
        <is>
          <t>VÄSTRA GÖTALANDS LÄN</t>
        </is>
      </c>
      <c r="E2695" t="inlineStr">
        <is>
          <t>SKÖVDE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956-2021</t>
        </is>
      </c>
      <c r="B2696" s="1" t="n">
        <v>44207</v>
      </c>
      <c r="C2696" s="1" t="n">
        <v>46011</v>
      </c>
      <c r="D2696" t="inlineStr">
        <is>
          <t>VÄSTRA GÖTALANDS LÄN</t>
        </is>
      </c>
      <c r="E2696" t="inlineStr">
        <is>
          <t>TÖREBODA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1370-2021</t>
        </is>
      </c>
      <c r="B2697" s="1" t="n">
        <v>44208.59737268519</v>
      </c>
      <c r="C2697" s="1" t="n">
        <v>46011</v>
      </c>
      <c r="D2697" t="inlineStr">
        <is>
          <t>VÄSTRA GÖTALANDS LÄN</t>
        </is>
      </c>
      <c r="E2697" t="inlineStr">
        <is>
          <t>STRÖMSTAD</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21204-2021</t>
        </is>
      </c>
      <c r="B2698" s="1" t="n">
        <v>44320</v>
      </c>
      <c r="C2698" s="1" t="n">
        <v>46011</v>
      </c>
      <c r="D2698" t="inlineStr">
        <is>
          <t>VÄSTRA GÖTALANDS LÄN</t>
        </is>
      </c>
      <c r="E2698" t="inlineStr">
        <is>
          <t>ESSUNGA</t>
        </is>
      </c>
      <c r="F2698" t="inlineStr">
        <is>
          <t>Allmännings- och besparingsskogar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21842-2021</t>
        </is>
      </c>
      <c r="B2699" s="1" t="n">
        <v>44322</v>
      </c>
      <c r="C2699" s="1" t="n">
        <v>46011</v>
      </c>
      <c r="D2699" t="inlineStr">
        <is>
          <t>VÄSTRA GÖTALANDS LÄN</t>
        </is>
      </c>
      <c r="E2699" t="inlineStr">
        <is>
          <t>MÖLNDAL</t>
        </is>
      </c>
      <c r="F2699" t="inlineStr">
        <is>
          <t>Kommuner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22724-2021</t>
        </is>
      </c>
      <c r="B2700" s="1" t="n">
        <v>44327</v>
      </c>
      <c r="C2700" s="1" t="n">
        <v>46011</v>
      </c>
      <c r="D2700" t="inlineStr">
        <is>
          <t>VÄSTRA GÖTALANDS LÄN</t>
        </is>
      </c>
      <c r="E2700" t="inlineStr">
        <is>
          <t>BOLLEBYGD</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10252-2021</t>
        </is>
      </c>
      <c r="B2701" s="1" t="n">
        <v>44256</v>
      </c>
      <c r="C2701" s="1" t="n">
        <v>46011</v>
      </c>
      <c r="D2701" t="inlineStr">
        <is>
          <t>VÄSTRA GÖTALANDS LÄN</t>
        </is>
      </c>
      <c r="E2701" t="inlineStr">
        <is>
          <t>STRÖMSTAD</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62124-2021</t>
        </is>
      </c>
      <c r="B2702" s="1" t="n">
        <v>44501</v>
      </c>
      <c r="C2702" s="1" t="n">
        <v>46011</v>
      </c>
      <c r="D2702" t="inlineStr">
        <is>
          <t>VÄSTRA GÖTALANDS LÄN</t>
        </is>
      </c>
      <c r="E2702" t="inlineStr">
        <is>
          <t>VÅRGÅRDA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22764-2021</t>
        </is>
      </c>
      <c r="B2703" s="1" t="n">
        <v>44327</v>
      </c>
      <c r="C2703" s="1" t="n">
        <v>46011</v>
      </c>
      <c r="D2703" t="inlineStr">
        <is>
          <t>VÄSTRA GÖTALANDS LÄN</t>
        </is>
      </c>
      <c r="E2703" t="inlineStr">
        <is>
          <t>TANUM</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22766-2021</t>
        </is>
      </c>
      <c r="B2704" s="1" t="n">
        <v>44327</v>
      </c>
      <c r="C2704" s="1" t="n">
        <v>46011</v>
      </c>
      <c r="D2704" t="inlineStr">
        <is>
          <t>VÄSTRA GÖTALANDS LÄN</t>
        </is>
      </c>
      <c r="E2704" t="inlineStr">
        <is>
          <t>TANUM</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56666-2021</t>
        </is>
      </c>
      <c r="B2705" s="1" t="n">
        <v>44481.28127314815</v>
      </c>
      <c r="C2705" s="1" t="n">
        <v>46011</v>
      </c>
      <c r="D2705" t="inlineStr">
        <is>
          <t>VÄSTRA GÖTALANDS LÄN</t>
        </is>
      </c>
      <c r="E2705" t="inlineStr">
        <is>
          <t>TRANEMO</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28752-2021</t>
        </is>
      </c>
      <c r="B2706" s="1" t="n">
        <v>44357</v>
      </c>
      <c r="C2706" s="1" t="n">
        <v>46011</v>
      </c>
      <c r="D2706" t="inlineStr">
        <is>
          <t>VÄSTRA GÖTALANDS LÄN</t>
        </is>
      </c>
      <c r="E2706" t="inlineStr">
        <is>
          <t>SVENLJUNGA</t>
        </is>
      </c>
      <c r="F2706" t="inlineStr">
        <is>
          <t>Sveaskog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28753-2021</t>
        </is>
      </c>
      <c r="B2707" s="1" t="n">
        <v>44357</v>
      </c>
      <c r="C2707" s="1" t="n">
        <v>46011</v>
      </c>
      <c r="D2707" t="inlineStr">
        <is>
          <t>VÄSTRA GÖTALANDS LÄN</t>
        </is>
      </c>
      <c r="E2707" t="inlineStr">
        <is>
          <t>SVENLJUNGA</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28754-2021</t>
        </is>
      </c>
      <c r="B2708" s="1" t="n">
        <v>44357.5115162037</v>
      </c>
      <c r="C2708" s="1" t="n">
        <v>46011</v>
      </c>
      <c r="D2708" t="inlineStr">
        <is>
          <t>VÄSTRA GÖTALANDS LÄN</t>
        </is>
      </c>
      <c r="E2708" t="inlineStr">
        <is>
          <t>MUNKEDAL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28786-2021</t>
        </is>
      </c>
      <c r="B2709" s="1" t="n">
        <v>44357.57733796296</v>
      </c>
      <c r="C2709" s="1" t="n">
        <v>46011</v>
      </c>
      <c r="D2709" t="inlineStr">
        <is>
          <t>VÄSTRA GÖTALANDS LÄN</t>
        </is>
      </c>
      <c r="E2709" t="inlineStr">
        <is>
          <t>BENGTSFORS</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25969-2021</t>
        </is>
      </c>
      <c r="B2710" s="1" t="n">
        <v>44344</v>
      </c>
      <c r="C2710" s="1" t="n">
        <v>46011</v>
      </c>
      <c r="D2710" t="inlineStr">
        <is>
          <t>VÄSTRA GÖTALANDS LÄN</t>
        </is>
      </c>
      <c r="E2710" t="inlineStr">
        <is>
          <t>MARIESTAD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67142-2021</t>
        </is>
      </c>
      <c r="B2711" s="1" t="n">
        <v>44523</v>
      </c>
      <c r="C2711" s="1" t="n">
        <v>46011</v>
      </c>
      <c r="D2711" t="inlineStr">
        <is>
          <t>VÄSTRA GÖTALANDS LÄN</t>
        </is>
      </c>
      <c r="E2711" t="inlineStr">
        <is>
          <t>MARIESTAD</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14751-2022</t>
        </is>
      </c>
      <c r="B2712" s="1" t="n">
        <v>44656.3837037037</v>
      </c>
      <c r="C2712" s="1" t="n">
        <v>46011</v>
      </c>
      <c r="D2712" t="inlineStr">
        <is>
          <t>VÄSTRA GÖTALANDS LÄN</t>
        </is>
      </c>
      <c r="E2712" t="inlineStr">
        <is>
          <t>ALE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37893-2021</t>
        </is>
      </c>
      <c r="B2713" s="1" t="n">
        <v>44403.546875</v>
      </c>
      <c r="C2713" s="1" t="n">
        <v>46011</v>
      </c>
      <c r="D2713" t="inlineStr">
        <is>
          <t>VÄSTRA GÖTALANDS LÄN</t>
        </is>
      </c>
      <c r="E2713" t="inlineStr">
        <is>
          <t>ULRICEHAMN</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45150-2021</t>
        </is>
      </c>
      <c r="B2714" s="1" t="n">
        <v>44439.47009259259</v>
      </c>
      <c r="C2714" s="1" t="n">
        <v>46011</v>
      </c>
      <c r="D2714" t="inlineStr">
        <is>
          <t>VÄSTRA GÖTALANDS LÄN</t>
        </is>
      </c>
      <c r="E2714" t="inlineStr">
        <is>
          <t>MUNKEDAL</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45222-2021</t>
        </is>
      </c>
      <c r="B2715" s="1" t="n">
        <v>44439</v>
      </c>
      <c r="C2715" s="1" t="n">
        <v>46011</v>
      </c>
      <c r="D2715" t="inlineStr">
        <is>
          <t>VÄSTRA GÖTALANDS LÄN</t>
        </is>
      </c>
      <c r="E2715" t="inlineStr">
        <is>
          <t>MUNKEDAL</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32017-2021</t>
        </is>
      </c>
      <c r="B2716" s="1" t="n">
        <v>44370.63815972222</v>
      </c>
      <c r="C2716" s="1" t="n">
        <v>46011</v>
      </c>
      <c r="D2716" t="inlineStr">
        <is>
          <t>VÄSTRA GÖTALANDS LÄN</t>
        </is>
      </c>
      <c r="E2716" t="inlineStr">
        <is>
          <t>BOLLEBYGD</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34582-2021</t>
        </is>
      </c>
      <c r="B2717" s="1" t="n">
        <v>44382</v>
      </c>
      <c r="C2717" s="1" t="n">
        <v>46011</v>
      </c>
      <c r="D2717" t="inlineStr">
        <is>
          <t>VÄSTRA GÖTALANDS LÄN</t>
        </is>
      </c>
      <c r="E2717" t="inlineStr">
        <is>
          <t>TIDAHOLM</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38565-2021</t>
        </is>
      </c>
      <c r="B2718" s="1" t="n">
        <v>44407.70063657407</v>
      </c>
      <c r="C2718" s="1" t="n">
        <v>46011</v>
      </c>
      <c r="D2718" t="inlineStr">
        <is>
          <t>VÄSTRA GÖTALANDS LÄN</t>
        </is>
      </c>
      <c r="E2718" t="inlineStr">
        <is>
          <t>ÅMÅL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13669-2022</t>
        </is>
      </c>
      <c r="B2719" s="1" t="n">
        <v>44648.67226851852</v>
      </c>
      <c r="C2719" s="1" t="n">
        <v>46011</v>
      </c>
      <c r="D2719" t="inlineStr">
        <is>
          <t>VÄSTRA GÖTALANDS LÄN</t>
        </is>
      </c>
      <c r="E2719" t="inlineStr">
        <is>
          <t>BENGTSFORS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13673-2022</t>
        </is>
      </c>
      <c r="B2720" s="1" t="n">
        <v>44648.67503472222</v>
      </c>
      <c r="C2720" s="1" t="n">
        <v>46011</v>
      </c>
      <c r="D2720" t="inlineStr">
        <is>
          <t>VÄSTRA GÖTALANDS LÄN</t>
        </is>
      </c>
      <c r="E2720" t="inlineStr">
        <is>
          <t>BENGTSFORS</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70980-2021</t>
        </is>
      </c>
      <c r="B2721" s="1" t="n">
        <v>44538.58409722222</v>
      </c>
      <c r="C2721" s="1" t="n">
        <v>46011</v>
      </c>
      <c r="D2721" t="inlineStr">
        <is>
          <t>VÄSTRA GÖTALANDS LÄN</t>
        </is>
      </c>
      <c r="E2721" t="inlineStr">
        <is>
          <t>HERRLJUNGA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7231-2022</t>
        </is>
      </c>
      <c r="B2722" s="1" t="n">
        <v>44606.37339120371</v>
      </c>
      <c r="C2722" s="1" t="n">
        <v>46011</v>
      </c>
      <c r="D2722" t="inlineStr">
        <is>
          <t>VÄSTRA GÖTALANDS LÄN</t>
        </is>
      </c>
      <c r="E2722" t="inlineStr">
        <is>
          <t>HJO</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39959-2021</t>
        </is>
      </c>
      <c r="B2723" s="1" t="n">
        <v>44417</v>
      </c>
      <c r="C2723" s="1" t="n">
        <v>46011</v>
      </c>
      <c r="D2723" t="inlineStr">
        <is>
          <t>VÄSTRA GÖTALANDS LÄN</t>
        </is>
      </c>
      <c r="E2723" t="inlineStr">
        <is>
          <t>TANUM</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19782-2022</t>
        </is>
      </c>
      <c r="B2724" s="1" t="n">
        <v>44694</v>
      </c>
      <c r="C2724" s="1" t="n">
        <v>46011</v>
      </c>
      <c r="D2724" t="inlineStr">
        <is>
          <t>VÄSTRA GÖTALANDS LÄN</t>
        </is>
      </c>
      <c r="E2724" t="inlineStr">
        <is>
          <t>HÄRRYDA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59883-2021</t>
        </is>
      </c>
      <c r="B2725" s="1" t="n">
        <v>44494</v>
      </c>
      <c r="C2725" s="1" t="n">
        <v>46011</v>
      </c>
      <c r="D2725" t="inlineStr">
        <is>
          <t>VÄSTRA GÖTALANDS LÄN</t>
        </is>
      </c>
      <c r="E2725" t="inlineStr">
        <is>
          <t>KARLSBORG</t>
        </is>
      </c>
      <c r="F2725" t="inlineStr">
        <is>
          <t>Övriga statliga verk och myndigheter</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55831-2021</t>
        </is>
      </c>
      <c r="B2726" s="1" t="n">
        <v>44476</v>
      </c>
      <c r="C2726" s="1" t="n">
        <v>46011</v>
      </c>
      <c r="D2726" t="inlineStr">
        <is>
          <t>VÄSTRA GÖTALANDS LÄN</t>
        </is>
      </c>
      <c r="E2726" t="inlineStr">
        <is>
          <t>KARLSBORG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21730-2022</t>
        </is>
      </c>
      <c r="B2727" s="1" t="n">
        <v>44707</v>
      </c>
      <c r="C2727" s="1" t="n">
        <v>46011</v>
      </c>
      <c r="D2727" t="inlineStr">
        <is>
          <t>VÄSTRA GÖTALANDS LÄN</t>
        </is>
      </c>
      <c r="E2727" t="inlineStr">
        <is>
          <t>FALKÖPING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12091-2021</t>
        </is>
      </c>
      <c r="B2728" s="1" t="n">
        <v>44266.50715277778</v>
      </c>
      <c r="C2728" s="1" t="n">
        <v>46011</v>
      </c>
      <c r="D2728" t="inlineStr">
        <is>
          <t>VÄSTRA GÖTALANDS LÄN</t>
        </is>
      </c>
      <c r="E2728" t="inlineStr">
        <is>
          <t>MARK</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34673-2022</t>
        </is>
      </c>
      <c r="B2729" s="1" t="n">
        <v>44795.48535879629</v>
      </c>
      <c r="C2729" s="1" t="n">
        <v>46011</v>
      </c>
      <c r="D2729" t="inlineStr">
        <is>
          <t>VÄSTRA GÖTALANDS LÄN</t>
        </is>
      </c>
      <c r="E2729" t="inlineStr">
        <is>
          <t>KARLSBORG</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66971-2021</t>
        </is>
      </c>
      <c r="B2730" s="1" t="n">
        <v>44522.59743055556</v>
      </c>
      <c r="C2730" s="1" t="n">
        <v>46011</v>
      </c>
      <c r="D2730" t="inlineStr">
        <is>
          <t>VÄSTRA GÖTALANDS LÄN</t>
        </is>
      </c>
      <c r="E2730" t="inlineStr">
        <is>
          <t>TROLLHÄTTAN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44965-2021</t>
        </is>
      </c>
      <c r="B2731" s="1" t="n">
        <v>44438.72671296296</v>
      </c>
      <c r="C2731" s="1" t="n">
        <v>46011</v>
      </c>
      <c r="D2731" t="inlineStr">
        <is>
          <t>VÄSTRA GÖTALANDS LÄN</t>
        </is>
      </c>
      <c r="E2731" t="inlineStr">
        <is>
          <t>HJO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67657-2021</t>
        </is>
      </c>
      <c r="B2732" s="1" t="n">
        <v>44524.80753472223</v>
      </c>
      <c r="C2732" s="1" t="n">
        <v>46011</v>
      </c>
      <c r="D2732" t="inlineStr">
        <is>
          <t>VÄSTRA GÖTALANDS LÄN</t>
        </is>
      </c>
      <c r="E2732" t="inlineStr">
        <is>
          <t>ULRICEHAMN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7524-2022</t>
        </is>
      </c>
      <c r="B2733" s="1" t="n">
        <v>44607.49695601852</v>
      </c>
      <c r="C2733" s="1" t="n">
        <v>46011</v>
      </c>
      <c r="D2733" t="inlineStr">
        <is>
          <t>VÄSTRA GÖTALANDS LÄN</t>
        </is>
      </c>
      <c r="E2733" t="inlineStr">
        <is>
          <t>MUNKEDAL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7319-2022</t>
        </is>
      </c>
      <c r="B2734" s="1" t="n">
        <v>44606.52885416667</v>
      </c>
      <c r="C2734" s="1" t="n">
        <v>46011</v>
      </c>
      <c r="D2734" t="inlineStr">
        <is>
          <t>VÄSTRA GÖTALANDS LÄN</t>
        </is>
      </c>
      <c r="E2734" t="inlineStr">
        <is>
          <t>ULRICEHAMN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6969-2022</t>
        </is>
      </c>
      <c r="B2735" s="1" t="n">
        <v>44603.37188657407</v>
      </c>
      <c r="C2735" s="1" t="n">
        <v>46011</v>
      </c>
      <c r="D2735" t="inlineStr">
        <is>
          <t>VÄSTRA GÖTALANDS LÄN</t>
        </is>
      </c>
      <c r="E2735" t="inlineStr">
        <is>
          <t>GÖTENE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35449-2021</t>
        </is>
      </c>
      <c r="B2736" s="1" t="n">
        <v>44385.52923611111</v>
      </c>
      <c r="C2736" s="1" t="n">
        <v>46011</v>
      </c>
      <c r="D2736" t="inlineStr">
        <is>
          <t>VÄSTRA GÖTALANDS LÄN</t>
        </is>
      </c>
      <c r="E2736" t="inlineStr">
        <is>
          <t>MUNKEDAL</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11979-2022</t>
        </is>
      </c>
      <c r="B2737" s="1" t="n">
        <v>44635.66027777778</v>
      </c>
      <c r="C2737" s="1" t="n">
        <v>46011</v>
      </c>
      <c r="D2737" t="inlineStr">
        <is>
          <t>VÄSTRA GÖTALANDS LÄN</t>
        </is>
      </c>
      <c r="E2737" t="inlineStr">
        <is>
          <t>VÄNERSBORG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12802-2022</t>
        </is>
      </c>
      <c r="B2738" s="1" t="n">
        <v>44642</v>
      </c>
      <c r="C2738" s="1" t="n">
        <v>46011</v>
      </c>
      <c r="D2738" t="inlineStr">
        <is>
          <t>VÄSTRA GÖTALANDS LÄN</t>
        </is>
      </c>
      <c r="E2738" t="inlineStr">
        <is>
          <t>BORÅS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12884-2022</t>
        </is>
      </c>
      <c r="B2739" s="1" t="n">
        <v>44642.57876157408</v>
      </c>
      <c r="C2739" s="1" t="n">
        <v>46011</v>
      </c>
      <c r="D2739" t="inlineStr">
        <is>
          <t>VÄSTRA GÖTALANDS LÄN</t>
        </is>
      </c>
      <c r="E2739" t="inlineStr">
        <is>
          <t>ALINGSÅS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31879-2022</t>
        </is>
      </c>
      <c r="B2740" s="1" t="n">
        <v>44777.43228009259</v>
      </c>
      <c r="C2740" s="1" t="n">
        <v>46011</v>
      </c>
      <c r="D2740" t="inlineStr">
        <is>
          <t>VÄSTRA GÖTALANDS LÄN</t>
        </is>
      </c>
      <c r="E2740" t="inlineStr">
        <is>
          <t>FÄRGELANDA</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33121-2022</t>
        </is>
      </c>
      <c r="B2741" s="1" t="n">
        <v>44785.52829861111</v>
      </c>
      <c r="C2741" s="1" t="n">
        <v>46011</v>
      </c>
      <c r="D2741" t="inlineStr">
        <is>
          <t>VÄSTRA GÖTALANDS LÄN</t>
        </is>
      </c>
      <c r="E2741" t="inlineStr">
        <is>
          <t>KARLSBORG</t>
        </is>
      </c>
      <c r="F2741" t="inlineStr">
        <is>
          <t>Sveaskog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23350-2022</t>
        </is>
      </c>
      <c r="B2742" s="1" t="n">
        <v>44720.55946759259</v>
      </c>
      <c r="C2742" s="1" t="n">
        <v>46011</v>
      </c>
      <c r="D2742" t="inlineStr">
        <is>
          <t>VÄSTRA GÖTALANDS LÄN</t>
        </is>
      </c>
      <c r="E2742" t="inlineStr">
        <is>
          <t>MELLERUD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28331-2022</t>
        </is>
      </c>
      <c r="B2743" s="1" t="n">
        <v>44747.41405092592</v>
      </c>
      <c r="C2743" s="1" t="n">
        <v>46011</v>
      </c>
      <c r="D2743" t="inlineStr">
        <is>
          <t>VÄSTRA GÖTALANDS LÄN</t>
        </is>
      </c>
      <c r="E2743" t="inlineStr">
        <is>
          <t>LIDKÖPING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21129-2022</t>
        </is>
      </c>
      <c r="B2744" s="1" t="n">
        <v>44704.61637731481</v>
      </c>
      <c r="C2744" s="1" t="n">
        <v>46011</v>
      </c>
      <c r="D2744" t="inlineStr">
        <is>
          <t>VÄSTRA GÖTALANDS LÄN</t>
        </is>
      </c>
      <c r="E2744" t="inlineStr">
        <is>
          <t>MUNKEDAL</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50984-2022</t>
        </is>
      </c>
      <c r="B2745" s="1" t="n">
        <v>44867</v>
      </c>
      <c r="C2745" s="1" t="n">
        <v>46011</v>
      </c>
      <c r="D2745" t="inlineStr">
        <is>
          <t>VÄSTRA GÖTALANDS LÄN</t>
        </is>
      </c>
      <c r="E2745" t="inlineStr">
        <is>
          <t>VARA</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44884-2021</t>
        </is>
      </c>
      <c r="B2746" s="1" t="n">
        <v>44438</v>
      </c>
      <c r="C2746" s="1" t="n">
        <v>46011</v>
      </c>
      <c r="D2746" t="inlineStr">
        <is>
          <t>VÄSTRA GÖTALANDS LÄN</t>
        </is>
      </c>
      <c r="E2746" t="inlineStr">
        <is>
          <t>MELLERUD</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32219-2022</t>
        </is>
      </c>
      <c r="B2747" s="1" t="n">
        <v>44781.43912037037</v>
      </c>
      <c r="C2747" s="1" t="n">
        <v>46011</v>
      </c>
      <c r="D2747" t="inlineStr">
        <is>
          <t>VÄSTRA GÖTALANDS LÄN</t>
        </is>
      </c>
      <c r="E2747" t="inlineStr">
        <is>
          <t>HJO</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6293-2022</t>
        </is>
      </c>
      <c r="B2748" s="1" t="n">
        <v>44600</v>
      </c>
      <c r="C2748" s="1" t="n">
        <v>46011</v>
      </c>
      <c r="D2748" t="inlineStr">
        <is>
          <t>VÄSTRA GÖTALANDS LÄN</t>
        </is>
      </c>
      <c r="E2748" t="inlineStr">
        <is>
          <t>STENUNGSUND</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49896-2021</t>
        </is>
      </c>
      <c r="B2749" s="1" t="n">
        <v>44455.72633101852</v>
      </c>
      <c r="C2749" s="1" t="n">
        <v>46011</v>
      </c>
      <c r="D2749" t="inlineStr">
        <is>
          <t>VÄSTRA GÖTALANDS LÄN</t>
        </is>
      </c>
      <c r="E2749" t="inlineStr">
        <is>
          <t>MARIESTAD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53144-2021</t>
        </is>
      </c>
      <c r="B2750" s="1" t="n">
        <v>44468</v>
      </c>
      <c r="C2750" s="1" t="n">
        <v>46011</v>
      </c>
      <c r="D2750" t="inlineStr">
        <is>
          <t>VÄSTRA GÖTALANDS LÄN</t>
        </is>
      </c>
      <c r="E2750" t="inlineStr">
        <is>
          <t>ALE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54054-2021</t>
        </is>
      </c>
      <c r="B2751" s="1" t="n">
        <v>44470</v>
      </c>
      <c r="C2751" s="1" t="n">
        <v>46011</v>
      </c>
      <c r="D2751" t="inlineStr">
        <is>
          <t>VÄSTRA GÖTALANDS LÄN</t>
        </is>
      </c>
      <c r="E2751" t="inlineStr">
        <is>
          <t>TANUM</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51537-2021</t>
        </is>
      </c>
      <c r="B2752" s="1" t="n">
        <v>44462</v>
      </c>
      <c r="C2752" s="1" t="n">
        <v>46011</v>
      </c>
      <c r="D2752" t="inlineStr">
        <is>
          <t>VÄSTRA GÖTALANDS LÄN</t>
        </is>
      </c>
      <c r="E2752" t="inlineStr">
        <is>
          <t>MÖLNDAL</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51569-2021</t>
        </is>
      </c>
      <c r="B2753" s="1" t="n">
        <v>44462</v>
      </c>
      <c r="C2753" s="1" t="n">
        <v>46011</v>
      </c>
      <c r="D2753" t="inlineStr">
        <is>
          <t>VÄSTRA GÖTALANDS LÄN</t>
        </is>
      </c>
      <c r="E2753" t="inlineStr">
        <is>
          <t>LILLA EDET</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20285-2022</t>
        </is>
      </c>
      <c r="B2754" s="1" t="n">
        <v>44698.76347222222</v>
      </c>
      <c r="C2754" s="1" t="n">
        <v>46011</v>
      </c>
      <c r="D2754" t="inlineStr">
        <is>
          <t>VÄSTRA GÖTALANDS LÄN</t>
        </is>
      </c>
      <c r="E2754" t="inlineStr">
        <is>
          <t>ALE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26625-2021</t>
        </is>
      </c>
      <c r="B2755" s="1" t="n">
        <v>44348.66256944444</v>
      </c>
      <c r="C2755" s="1" t="n">
        <v>46011</v>
      </c>
      <c r="D2755" t="inlineStr">
        <is>
          <t>VÄSTRA GÖTALANDS LÄN</t>
        </is>
      </c>
      <c r="E2755" t="inlineStr">
        <is>
          <t>FALKÖPING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26628-2021</t>
        </is>
      </c>
      <c r="B2756" s="1" t="n">
        <v>44348</v>
      </c>
      <c r="C2756" s="1" t="n">
        <v>46011</v>
      </c>
      <c r="D2756" t="inlineStr">
        <is>
          <t>VÄSTRA GÖTALANDS LÄN</t>
        </is>
      </c>
      <c r="E2756" t="inlineStr">
        <is>
          <t>TROLLHÄTTAN</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29025-2021</t>
        </is>
      </c>
      <c r="B2757" s="1" t="n">
        <v>44358</v>
      </c>
      <c r="C2757" s="1" t="n">
        <v>46011</v>
      </c>
      <c r="D2757" t="inlineStr">
        <is>
          <t>VÄSTRA GÖTALANDS LÄN</t>
        </is>
      </c>
      <c r="E2757" t="inlineStr">
        <is>
          <t>VÅRGÅRDA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4095-2021</t>
        </is>
      </c>
      <c r="B2758" s="1" t="n">
        <v>44222</v>
      </c>
      <c r="C2758" s="1" t="n">
        <v>46011</v>
      </c>
      <c r="D2758" t="inlineStr">
        <is>
          <t>VÄSTRA GÖTALANDS LÄN</t>
        </is>
      </c>
      <c r="E2758" t="inlineStr">
        <is>
          <t>FÄRGELANDA</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4873-2022</t>
        </is>
      </c>
      <c r="B2759" s="1" t="n">
        <v>44593.3330787037</v>
      </c>
      <c r="C2759" s="1" t="n">
        <v>46011</v>
      </c>
      <c r="D2759" t="inlineStr">
        <is>
          <t>VÄSTRA GÖTALANDS LÄN</t>
        </is>
      </c>
      <c r="E2759" t="inlineStr">
        <is>
          <t>ULRICEHAMN</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11885-2022</t>
        </is>
      </c>
      <c r="B2760" s="1" t="n">
        <v>44635.4016087963</v>
      </c>
      <c r="C2760" s="1" t="n">
        <v>46011</v>
      </c>
      <c r="D2760" t="inlineStr">
        <is>
          <t>VÄSTRA GÖTALANDS LÄN</t>
        </is>
      </c>
      <c r="E2760" t="inlineStr">
        <is>
          <t>SKÖVDE</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12503-2021</t>
        </is>
      </c>
      <c r="B2761" s="1" t="n">
        <v>44268</v>
      </c>
      <c r="C2761" s="1" t="n">
        <v>46011</v>
      </c>
      <c r="D2761" t="inlineStr">
        <is>
          <t>VÄSTRA GÖTALANDS LÄN</t>
        </is>
      </c>
      <c r="E2761" t="inlineStr">
        <is>
          <t>SKARA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15117-2021</t>
        </is>
      </c>
      <c r="B2762" s="1" t="n">
        <v>44282</v>
      </c>
      <c r="C2762" s="1" t="n">
        <v>46011</v>
      </c>
      <c r="D2762" t="inlineStr">
        <is>
          <t>VÄSTRA GÖTALANDS LÄN</t>
        </is>
      </c>
      <c r="E2762" t="inlineStr">
        <is>
          <t>VÅRGÅRDA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5003-2021</t>
        </is>
      </c>
      <c r="B2763" s="1" t="n">
        <v>44228</v>
      </c>
      <c r="C2763" s="1" t="n">
        <v>46011</v>
      </c>
      <c r="D2763" t="inlineStr">
        <is>
          <t>VÄSTRA GÖTALANDS LÄN</t>
        </is>
      </c>
      <c r="E2763" t="inlineStr">
        <is>
          <t>DALS-ED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26787-2021</t>
        </is>
      </c>
      <c r="B2764" s="1" t="n">
        <v>44349</v>
      </c>
      <c r="C2764" s="1" t="n">
        <v>46011</v>
      </c>
      <c r="D2764" t="inlineStr">
        <is>
          <t>VÄSTRA GÖTALANDS LÄN</t>
        </is>
      </c>
      <c r="E2764" t="inlineStr">
        <is>
          <t>DALS-ED</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15683-2022</t>
        </is>
      </c>
      <c r="B2765" s="1" t="n">
        <v>44663</v>
      </c>
      <c r="C2765" s="1" t="n">
        <v>46011</v>
      </c>
      <c r="D2765" t="inlineStr">
        <is>
          <t>VÄSTRA GÖTALANDS LÄN</t>
        </is>
      </c>
      <c r="E2765" t="inlineStr">
        <is>
          <t>HÄRRYDA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7991-2021</t>
        </is>
      </c>
      <c r="B2766" s="1" t="n">
        <v>44243</v>
      </c>
      <c r="C2766" s="1" t="n">
        <v>46011</v>
      </c>
      <c r="D2766" t="inlineStr">
        <is>
          <t>VÄSTRA GÖTALANDS LÄN</t>
        </is>
      </c>
      <c r="E2766" t="inlineStr">
        <is>
          <t>ALINGSÅS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22586-2022</t>
        </is>
      </c>
      <c r="B2767" s="1" t="n">
        <v>44714</v>
      </c>
      <c r="C2767" s="1" t="n">
        <v>46011</v>
      </c>
      <c r="D2767" t="inlineStr">
        <is>
          <t>VÄSTRA GÖTALANDS LÄN</t>
        </is>
      </c>
      <c r="E2767" t="inlineStr">
        <is>
          <t>HJO</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1367-2022</t>
        </is>
      </c>
      <c r="B2768" s="1" t="n">
        <v>44573.34431712963</v>
      </c>
      <c r="C2768" s="1" t="n">
        <v>46011</v>
      </c>
      <c r="D2768" t="inlineStr">
        <is>
          <t>VÄSTRA GÖTALANDS LÄN</t>
        </is>
      </c>
      <c r="E2768" t="inlineStr">
        <is>
          <t>VÅRGÅRDA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33171-2022</t>
        </is>
      </c>
      <c r="B2769" s="1" t="n">
        <v>44785.60559027778</v>
      </c>
      <c r="C2769" s="1" t="n">
        <v>46011</v>
      </c>
      <c r="D2769" t="inlineStr">
        <is>
          <t>VÄSTRA GÖTALANDS LÄN</t>
        </is>
      </c>
      <c r="E2769" t="inlineStr">
        <is>
          <t>VARA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20340-2022</t>
        </is>
      </c>
      <c r="B2770" s="1" t="n">
        <v>44699</v>
      </c>
      <c r="C2770" s="1" t="n">
        <v>46011</v>
      </c>
      <c r="D2770" t="inlineStr">
        <is>
          <t>VÄSTRA GÖTALANDS LÄN</t>
        </is>
      </c>
      <c r="E2770" t="inlineStr">
        <is>
          <t>STRÖMSTAD</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33122-2022</t>
        </is>
      </c>
      <c r="B2771" s="1" t="n">
        <v>44785.53045138889</v>
      </c>
      <c r="C2771" s="1" t="n">
        <v>46011</v>
      </c>
      <c r="D2771" t="inlineStr">
        <is>
          <t>VÄSTRA GÖTALANDS LÄN</t>
        </is>
      </c>
      <c r="E2771" t="inlineStr">
        <is>
          <t>KARLSBORG</t>
        </is>
      </c>
      <c r="F2771" t="inlineStr">
        <is>
          <t>Sveaskog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35447-2021</t>
        </is>
      </c>
      <c r="B2772" s="1" t="n">
        <v>44385.51613425926</v>
      </c>
      <c r="C2772" s="1" t="n">
        <v>46011</v>
      </c>
      <c r="D2772" t="inlineStr">
        <is>
          <t>VÄSTRA GÖTALANDS LÄN</t>
        </is>
      </c>
      <c r="E2772" t="inlineStr">
        <is>
          <t>FÄRGELANDA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18361-2022</t>
        </is>
      </c>
      <c r="B2773" s="1" t="n">
        <v>44685</v>
      </c>
      <c r="C2773" s="1" t="n">
        <v>46011</v>
      </c>
      <c r="D2773" t="inlineStr">
        <is>
          <t>VÄSTRA GÖTALANDS LÄN</t>
        </is>
      </c>
      <c r="E2773" t="inlineStr">
        <is>
          <t>DALS-ED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18362-2022</t>
        </is>
      </c>
      <c r="B2774" s="1" t="n">
        <v>44685</v>
      </c>
      <c r="C2774" s="1" t="n">
        <v>46011</v>
      </c>
      <c r="D2774" t="inlineStr">
        <is>
          <t>VÄSTRA GÖTALANDS LÄN</t>
        </is>
      </c>
      <c r="E2774" t="inlineStr">
        <is>
          <t>DALS-ED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17019-2022</t>
        </is>
      </c>
      <c r="B2775" s="1" t="n">
        <v>44676</v>
      </c>
      <c r="C2775" s="1" t="n">
        <v>46011</v>
      </c>
      <c r="D2775" t="inlineStr">
        <is>
          <t>VÄSTRA GÖTALANDS LÄN</t>
        </is>
      </c>
      <c r="E2775" t="inlineStr">
        <is>
          <t>MELLERUD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23648-2021</t>
        </is>
      </c>
      <c r="B2776" s="1" t="n">
        <v>44334</v>
      </c>
      <c r="C2776" s="1" t="n">
        <v>46011</v>
      </c>
      <c r="D2776" t="inlineStr">
        <is>
          <t>VÄSTRA GÖTALANDS LÄN</t>
        </is>
      </c>
      <c r="E2776" t="inlineStr">
        <is>
          <t>BORÅS</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52501-2021</t>
        </is>
      </c>
      <c r="B2777" s="1" t="n">
        <v>44466.43952546296</v>
      </c>
      <c r="C2777" s="1" t="n">
        <v>46011</v>
      </c>
      <c r="D2777" t="inlineStr">
        <is>
          <t>VÄSTRA GÖTALANDS LÄN</t>
        </is>
      </c>
      <c r="E2777" t="inlineStr">
        <is>
          <t>ULRICEHAMN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30201-2021</t>
        </is>
      </c>
      <c r="B2778" s="1" t="n">
        <v>44363</v>
      </c>
      <c r="C2778" s="1" t="n">
        <v>46011</v>
      </c>
      <c r="D2778" t="inlineStr">
        <is>
          <t>VÄSTRA GÖTALANDS LÄN</t>
        </is>
      </c>
      <c r="E2778" t="inlineStr">
        <is>
          <t>VÄNERSBORG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57998-2021</t>
        </is>
      </c>
      <c r="B2779" s="1" t="n">
        <v>44487</v>
      </c>
      <c r="C2779" s="1" t="n">
        <v>46011</v>
      </c>
      <c r="D2779" t="inlineStr">
        <is>
          <t>VÄSTRA GÖTALANDS LÄN</t>
        </is>
      </c>
      <c r="E2779" t="inlineStr">
        <is>
          <t>BENGTSFORS</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57999-2021</t>
        </is>
      </c>
      <c r="B2780" s="1" t="n">
        <v>44487</v>
      </c>
      <c r="C2780" s="1" t="n">
        <v>46011</v>
      </c>
      <c r="D2780" t="inlineStr">
        <is>
          <t>VÄSTRA GÖTALANDS LÄN</t>
        </is>
      </c>
      <c r="E2780" t="inlineStr">
        <is>
          <t>TANUM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58055-2021</t>
        </is>
      </c>
      <c r="B2781" s="1" t="n">
        <v>44475</v>
      </c>
      <c r="C2781" s="1" t="n">
        <v>46011</v>
      </c>
      <c r="D2781" t="inlineStr">
        <is>
          <t>VÄSTRA GÖTALANDS LÄN</t>
        </is>
      </c>
      <c r="E2781" t="inlineStr">
        <is>
          <t>MARK</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5113-2021</t>
        </is>
      </c>
      <c r="B2782" s="1" t="n">
        <v>44228</v>
      </c>
      <c r="C2782" s="1" t="n">
        <v>46011</v>
      </c>
      <c r="D2782" t="inlineStr">
        <is>
          <t>VÄSTRA GÖTALANDS LÄN</t>
        </is>
      </c>
      <c r="E2782" t="inlineStr">
        <is>
          <t>TRANEMO</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68656-2021</t>
        </is>
      </c>
      <c r="B2783" s="1" t="n">
        <v>44529</v>
      </c>
      <c r="C2783" s="1" t="n">
        <v>46011</v>
      </c>
      <c r="D2783" t="inlineStr">
        <is>
          <t>VÄSTRA GÖTALANDS LÄN</t>
        </is>
      </c>
      <c r="E2783" t="inlineStr">
        <is>
          <t>FALKÖPING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68658-2021</t>
        </is>
      </c>
      <c r="B2784" s="1" t="n">
        <v>44529</v>
      </c>
      <c r="C2784" s="1" t="n">
        <v>46011</v>
      </c>
      <c r="D2784" t="inlineStr">
        <is>
          <t>VÄSTRA GÖTALANDS LÄN</t>
        </is>
      </c>
      <c r="E2784" t="inlineStr">
        <is>
          <t>FALKÖPING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33020-2021</t>
        </is>
      </c>
      <c r="B2785" s="1" t="n">
        <v>44376</v>
      </c>
      <c r="C2785" s="1" t="n">
        <v>46011</v>
      </c>
      <c r="D2785" t="inlineStr">
        <is>
          <t>VÄSTRA GÖTALANDS LÄN</t>
        </is>
      </c>
      <c r="E2785" t="inlineStr">
        <is>
          <t>TRANEMO</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59106-2021</t>
        </is>
      </c>
      <c r="B2786" s="1" t="n">
        <v>44490.4315625</v>
      </c>
      <c r="C2786" s="1" t="n">
        <v>46011</v>
      </c>
      <c r="D2786" t="inlineStr">
        <is>
          <t>VÄSTRA GÖTALANDS LÄN</t>
        </is>
      </c>
      <c r="E2786" t="inlineStr">
        <is>
          <t>FÄRGELANDA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63038-2021</t>
        </is>
      </c>
      <c r="B2787" s="1" t="n">
        <v>44505.4665625</v>
      </c>
      <c r="C2787" s="1" t="n">
        <v>46011</v>
      </c>
      <c r="D2787" t="inlineStr">
        <is>
          <t>VÄSTRA GÖTALANDS LÄN</t>
        </is>
      </c>
      <c r="E2787" t="inlineStr">
        <is>
          <t>BORÅS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27271-2021</t>
        </is>
      </c>
      <c r="B2788" s="1" t="n">
        <v>44351.27846064815</v>
      </c>
      <c r="C2788" s="1" t="n">
        <v>46011</v>
      </c>
      <c r="D2788" t="inlineStr">
        <is>
          <t>VÄSTRA GÖTALANDS LÄN</t>
        </is>
      </c>
      <c r="E2788" t="inlineStr">
        <is>
          <t>SVENLJUNGA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38059-2022</t>
        </is>
      </c>
      <c r="B2789" s="1" t="n">
        <v>44811.6625462963</v>
      </c>
      <c r="C2789" s="1" t="n">
        <v>46011</v>
      </c>
      <c r="D2789" t="inlineStr">
        <is>
          <t>VÄSTRA GÖTALANDS LÄN</t>
        </is>
      </c>
      <c r="E2789" t="inlineStr">
        <is>
          <t>LILLA EDET</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38064-2022</t>
        </is>
      </c>
      <c r="B2790" s="1" t="n">
        <v>44811.66424768518</v>
      </c>
      <c r="C2790" s="1" t="n">
        <v>46011</v>
      </c>
      <c r="D2790" t="inlineStr">
        <is>
          <t>VÄSTRA GÖTALANDS LÄN</t>
        </is>
      </c>
      <c r="E2790" t="inlineStr">
        <is>
          <t>GRÄSTORP</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856-2021</t>
        </is>
      </c>
      <c r="B2791" s="1" t="n">
        <v>44204</v>
      </c>
      <c r="C2791" s="1" t="n">
        <v>46011</v>
      </c>
      <c r="D2791" t="inlineStr">
        <is>
          <t>VÄSTRA GÖTALANDS LÄN</t>
        </is>
      </c>
      <c r="E2791" t="inlineStr">
        <is>
          <t>BORÅS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73025-2021</t>
        </is>
      </c>
      <c r="B2792" s="1" t="n">
        <v>44550.35263888889</v>
      </c>
      <c r="C2792" s="1" t="n">
        <v>46011</v>
      </c>
      <c r="D2792" t="inlineStr">
        <is>
          <t>VÄSTRA GÖTALANDS LÄN</t>
        </is>
      </c>
      <c r="E2792" t="inlineStr">
        <is>
          <t>TIDAHOLM</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73028-2021</t>
        </is>
      </c>
      <c r="B2793" s="1" t="n">
        <v>44550.35586805556</v>
      </c>
      <c r="C2793" s="1" t="n">
        <v>46011</v>
      </c>
      <c r="D2793" t="inlineStr">
        <is>
          <t>VÄSTRA GÖTALANDS LÄN</t>
        </is>
      </c>
      <c r="E2793" t="inlineStr">
        <is>
          <t>TIDAHOLM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73034-2021</t>
        </is>
      </c>
      <c r="B2794" s="1" t="n">
        <v>44550.36349537037</v>
      </c>
      <c r="C2794" s="1" t="n">
        <v>46011</v>
      </c>
      <c r="D2794" t="inlineStr">
        <is>
          <t>VÄSTRA GÖTALANDS LÄN</t>
        </is>
      </c>
      <c r="E2794" t="inlineStr">
        <is>
          <t>TIDAHOLM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54647-2021</t>
        </is>
      </c>
      <c r="B2795" s="1" t="n">
        <v>44473.62083333333</v>
      </c>
      <c r="C2795" s="1" t="n">
        <v>46011</v>
      </c>
      <c r="D2795" t="inlineStr">
        <is>
          <t>VÄSTRA GÖTALANDS LÄN</t>
        </is>
      </c>
      <c r="E2795" t="inlineStr">
        <is>
          <t>MARK</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8178-2022</t>
        </is>
      </c>
      <c r="B2796" s="1" t="n">
        <v>44609.65611111111</v>
      </c>
      <c r="C2796" s="1" t="n">
        <v>46011</v>
      </c>
      <c r="D2796" t="inlineStr">
        <is>
          <t>VÄSTRA GÖTALANDS LÄN</t>
        </is>
      </c>
      <c r="E2796" t="inlineStr">
        <is>
          <t>ULRICEHAMN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4870-2022</t>
        </is>
      </c>
      <c r="B2797" s="1" t="n">
        <v>44593.32331018519</v>
      </c>
      <c r="C2797" s="1" t="n">
        <v>46011</v>
      </c>
      <c r="D2797" t="inlineStr">
        <is>
          <t>VÄSTRA GÖTALANDS LÄN</t>
        </is>
      </c>
      <c r="E2797" t="inlineStr">
        <is>
          <t>ULRICEHAMN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68596-2021</t>
        </is>
      </c>
      <c r="B2798" s="1" t="n">
        <v>44529.54961805556</v>
      </c>
      <c r="C2798" s="1" t="n">
        <v>46011</v>
      </c>
      <c r="D2798" t="inlineStr">
        <is>
          <t>VÄSTRA GÖTALANDS LÄN</t>
        </is>
      </c>
      <c r="E2798" t="inlineStr">
        <is>
          <t>MUNKEDAL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296-2022</t>
        </is>
      </c>
      <c r="B2799" s="1" t="n">
        <v>44565.47288194444</v>
      </c>
      <c r="C2799" s="1" t="n">
        <v>46011</v>
      </c>
      <c r="D2799" t="inlineStr">
        <is>
          <t>VÄSTRA GÖTALANDS LÄN</t>
        </is>
      </c>
      <c r="E2799" t="inlineStr">
        <is>
          <t>LILLA EDET</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318-2022</t>
        </is>
      </c>
      <c r="B2800" s="1" t="n">
        <v>44565.56469907407</v>
      </c>
      <c r="C2800" s="1" t="n">
        <v>46011</v>
      </c>
      <c r="D2800" t="inlineStr">
        <is>
          <t>VÄSTRA GÖTALANDS LÄN</t>
        </is>
      </c>
      <c r="E2800" t="inlineStr">
        <is>
          <t>TROLLHÄTTAN</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50336-2021</t>
        </is>
      </c>
      <c r="B2801" s="1" t="n">
        <v>44459.41528935185</v>
      </c>
      <c r="C2801" s="1" t="n">
        <v>46011</v>
      </c>
      <c r="D2801" t="inlineStr">
        <is>
          <t>VÄSTRA GÖTALANDS LÄN</t>
        </is>
      </c>
      <c r="E2801" t="inlineStr">
        <is>
          <t>MUNKEDAL</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17971-2022</t>
        </is>
      </c>
      <c r="B2802" s="1" t="n">
        <v>44683</v>
      </c>
      <c r="C2802" s="1" t="n">
        <v>46011</v>
      </c>
      <c r="D2802" t="inlineStr">
        <is>
          <t>VÄSTRA GÖTALANDS LÄN</t>
        </is>
      </c>
      <c r="E2802" t="inlineStr">
        <is>
          <t>MUNKEDAL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30284-2022</t>
        </is>
      </c>
      <c r="B2803" s="1" t="n">
        <v>44760</v>
      </c>
      <c r="C2803" s="1" t="n">
        <v>46011</v>
      </c>
      <c r="D2803" t="inlineStr">
        <is>
          <t>VÄSTRA GÖTALANDS LÄN</t>
        </is>
      </c>
      <c r="E2803" t="inlineStr">
        <is>
          <t>LILLA EDET</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30287-2022</t>
        </is>
      </c>
      <c r="B2804" s="1" t="n">
        <v>44760</v>
      </c>
      <c r="C2804" s="1" t="n">
        <v>46011</v>
      </c>
      <c r="D2804" t="inlineStr">
        <is>
          <t>VÄSTRA GÖTALANDS LÄN</t>
        </is>
      </c>
      <c r="E2804" t="inlineStr">
        <is>
          <t>LILLA EDET</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65072-2021</t>
        </is>
      </c>
      <c r="B2805" s="1" t="n">
        <v>44515.37336805555</v>
      </c>
      <c r="C2805" s="1" t="n">
        <v>46011</v>
      </c>
      <c r="D2805" t="inlineStr">
        <is>
          <t>VÄSTRA GÖTALANDS LÄN</t>
        </is>
      </c>
      <c r="E2805" t="inlineStr">
        <is>
          <t>SVENLJUNGA</t>
        </is>
      </c>
      <c r="G2805" t="n">
        <v>0</v>
      </c>
      <c r="H2805" t="n">
        <v>0</v>
      </c>
      <c r="I2805" t="n">
        <v>0</v>
      </c>
      <c r="J2805" t="n">
        <v>0</v>
      </c>
      <c r="K2805" t="n">
        <v>0</v>
      </c>
      <c r="L2805" t="n">
        <v>0</v>
      </c>
      <c r="M2805" t="n">
        <v>0</v>
      </c>
      <c r="N2805" t="n">
        <v>0</v>
      </c>
      <c r="O2805" t="n">
        <v>0</v>
      </c>
      <c r="P2805" t="n">
        <v>0</v>
      </c>
      <c r="Q2805" t="n">
        <v>0</v>
      </c>
      <c r="R2805" s="2" t="inlineStr"/>
    </row>
    <row r="2806" ht="15" customHeight="1">
      <c r="A2806" t="inlineStr">
        <is>
          <t>A 12059-2022</t>
        </is>
      </c>
      <c r="B2806" s="1" t="n">
        <v>44636</v>
      </c>
      <c r="C2806" s="1" t="n">
        <v>46011</v>
      </c>
      <c r="D2806" t="inlineStr">
        <is>
          <t>VÄSTRA GÖTALANDS LÄN</t>
        </is>
      </c>
      <c r="E2806" t="inlineStr">
        <is>
          <t>FÄRGELANDA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41497-2022</t>
        </is>
      </c>
      <c r="B2807" s="1" t="n">
        <v>44826.95922453704</v>
      </c>
      <c r="C2807" s="1" t="n">
        <v>46011</v>
      </c>
      <c r="D2807" t="inlineStr">
        <is>
          <t>VÄSTRA GÖTALANDS LÄN</t>
        </is>
      </c>
      <c r="E2807" t="inlineStr">
        <is>
          <t>VÅRGÅRDA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61986-2021</t>
        </is>
      </c>
      <c r="B2808" s="1" t="n">
        <v>44502</v>
      </c>
      <c r="C2808" s="1" t="n">
        <v>46011</v>
      </c>
      <c r="D2808" t="inlineStr">
        <is>
          <t>VÄSTRA GÖTALANDS LÄN</t>
        </is>
      </c>
      <c r="E2808" t="inlineStr">
        <is>
          <t>TIBRO</t>
        </is>
      </c>
      <c r="F2808" t="inlineStr">
        <is>
          <t>Kommuner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62007-2021</t>
        </is>
      </c>
      <c r="B2809" s="1" t="n">
        <v>44502</v>
      </c>
      <c r="C2809" s="1" t="n">
        <v>46011</v>
      </c>
      <c r="D2809" t="inlineStr">
        <is>
          <t>VÄSTRA GÖTALANDS LÄN</t>
        </is>
      </c>
      <c r="E2809" t="inlineStr">
        <is>
          <t>STENUNGSUND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61904-2021</t>
        </is>
      </c>
      <c r="B2810" s="1" t="n">
        <v>44502.34490740741</v>
      </c>
      <c r="C2810" s="1" t="n">
        <v>46011</v>
      </c>
      <c r="D2810" t="inlineStr">
        <is>
          <t>VÄSTRA GÖTALANDS LÄN</t>
        </is>
      </c>
      <c r="E2810" t="inlineStr">
        <is>
          <t>UDDEVALLA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53447-2021</t>
        </is>
      </c>
      <c r="B2811" s="1" t="n">
        <v>44468.68621527778</v>
      </c>
      <c r="C2811" s="1" t="n">
        <v>46011</v>
      </c>
      <c r="D2811" t="inlineStr">
        <is>
          <t>VÄSTRA GÖTALANDS LÄN</t>
        </is>
      </c>
      <c r="E2811" t="inlineStr">
        <is>
          <t>FALKÖPING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49115-2022</t>
        </is>
      </c>
      <c r="B2812" s="1" t="n">
        <v>44860</v>
      </c>
      <c r="C2812" s="1" t="n">
        <v>46011</v>
      </c>
      <c r="D2812" t="inlineStr">
        <is>
          <t>VÄSTRA GÖTALANDS LÄN</t>
        </is>
      </c>
      <c r="E2812" t="inlineStr">
        <is>
          <t>TIDAHOLM</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9423-2022</t>
        </is>
      </c>
      <c r="B2813" s="1" t="n">
        <v>44616</v>
      </c>
      <c r="C2813" s="1" t="n">
        <v>46011</v>
      </c>
      <c r="D2813" t="inlineStr">
        <is>
          <t>VÄSTRA GÖTALANDS LÄN</t>
        </is>
      </c>
      <c r="E2813" t="inlineStr">
        <is>
          <t>GULLSPÅNG</t>
        </is>
      </c>
      <c r="F2813" t="inlineStr">
        <is>
          <t>Kyrkan</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55496-2021</t>
        </is>
      </c>
      <c r="B2814" s="1" t="n">
        <v>44475</v>
      </c>
      <c r="C2814" s="1" t="n">
        <v>46011</v>
      </c>
      <c r="D2814" t="inlineStr">
        <is>
          <t>VÄSTRA GÖTALANDS LÄN</t>
        </is>
      </c>
      <c r="E2814" t="inlineStr">
        <is>
          <t>GÖTENE</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39321-2022</t>
        </is>
      </c>
      <c r="B2815" s="1" t="n">
        <v>44817.71060185185</v>
      </c>
      <c r="C2815" s="1" t="n">
        <v>46011</v>
      </c>
      <c r="D2815" t="inlineStr">
        <is>
          <t>VÄSTRA GÖTALANDS LÄN</t>
        </is>
      </c>
      <c r="E2815" t="inlineStr">
        <is>
          <t>TIDAHOLM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38134-2022</t>
        </is>
      </c>
      <c r="B2816" s="1" t="n">
        <v>44812</v>
      </c>
      <c r="C2816" s="1" t="n">
        <v>46011</v>
      </c>
      <c r="D2816" t="inlineStr">
        <is>
          <t>VÄSTRA GÖTALANDS LÄN</t>
        </is>
      </c>
      <c r="E2816" t="inlineStr">
        <is>
          <t>TIDAHOLM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40592-2022</t>
        </is>
      </c>
      <c r="B2817" s="1" t="n">
        <v>44823</v>
      </c>
      <c r="C2817" s="1" t="n">
        <v>46011</v>
      </c>
      <c r="D2817" t="inlineStr">
        <is>
          <t>VÄSTRA GÖTALANDS LÄN</t>
        </is>
      </c>
      <c r="E2817" t="inlineStr">
        <is>
          <t>SKÖVDE</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11282-2022</t>
        </is>
      </c>
      <c r="B2818" s="1" t="n">
        <v>44629.92052083334</v>
      </c>
      <c r="C2818" s="1" t="n">
        <v>46011</v>
      </c>
      <c r="D2818" t="inlineStr">
        <is>
          <t>VÄSTRA GÖTALANDS LÄN</t>
        </is>
      </c>
      <c r="E2818" t="inlineStr">
        <is>
          <t>SKÖVDE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33329-2022</t>
        </is>
      </c>
      <c r="B2819" s="1" t="n">
        <v>44788.45302083333</v>
      </c>
      <c r="C2819" s="1" t="n">
        <v>46011</v>
      </c>
      <c r="D2819" t="inlineStr">
        <is>
          <t>VÄSTRA GÖTALANDS LÄN</t>
        </is>
      </c>
      <c r="E2819" t="inlineStr">
        <is>
          <t>TRANEMO</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13341-2022</t>
        </is>
      </c>
      <c r="B2820" s="1" t="n">
        <v>44645</v>
      </c>
      <c r="C2820" s="1" t="n">
        <v>46011</v>
      </c>
      <c r="D2820" t="inlineStr">
        <is>
          <t>VÄSTRA GÖTALANDS LÄN</t>
        </is>
      </c>
      <c r="E2820" t="inlineStr">
        <is>
          <t>SVENLJUNGA</t>
        </is>
      </c>
      <c r="F2820" t="inlineStr">
        <is>
          <t>Kommuner</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43522-2022</t>
        </is>
      </c>
      <c r="B2821" s="1" t="n">
        <v>44837.37662037037</v>
      </c>
      <c r="C2821" s="1" t="n">
        <v>46011</v>
      </c>
      <c r="D2821" t="inlineStr">
        <is>
          <t>VÄSTRA GÖTALANDS LÄN</t>
        </is>
      </c>
      <c r="E2821" t="inlineStr">
        <is>
          <t>TÖREBODA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48433-2022</t>
        </is>
      </c>
      <c r="B2822" s="1" t="n">
        <v>44858.64818287037</v>
      </c>
      <c r="C2822" s="1" t="n">
        <v>46011</v>
      </c>
      <c r="D2822" t="inlineStr">
        <is>
          <t>VÄSTRA GÖTALANDS LÄN</t>
        </is>
      </c>
      <c r="E2822" t="inlineStr">
        <is>
          <t>ÅMÅL</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69413-2021</t>
        </is>
      </c>
      <c r="B2823" s="1" t="n">
        <v>44531.61189814815</v>
      </c>
      <c r="C2823" s="1" t="n">
        <v>46011</v>
      </c>
      <c r="D2823" t="inlineStr">
        <is>
          <t>VÄSTRA GÖTALANDS LÄN</t>
        </is>
      </c>
      <c r="E2823" t="inlineStr">
        <is>
          <t>BOLLEBYGD</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56175-2021</t>
        </is>
      </c>
      <c r="B2824" s="1" t="n">
        <v>44477</v>
      </c>
      <c r="C2824" s="1" t="n">
        <v>46011</v>
      </c>
      <c r="D2824" t="inlineStr">
        <is>
          <t>VÄSTRA GÖTALANDS LÄN</t>
        </is>
      </c>
      <c r="E2824" t="inlineStr">
        <is>
          <t>HJO</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56770-2021</t>
        </is>
      </c>
      <c r="B2825" s="1" t="n">
        <v>44480</v>
      </c>
      <c r="C2825" s="1" t="n">
        <v>46011</v>
      </c>
      <c r="D2825" t="inlineStr">
        <is>
          <t>VÄSTRA GÖTALANDS LÄN</t>
        </is>
      </c>
      <c r="E2825" t="inlineStr">
        <is>
          <t>ULRICEHAMN</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56831-2021</t>
        </is>
      </c>
      <c r="B2826" s="1" t="n">
        <v>44481.61975694444</v>
      </c>
      <c r="C2826" s="1" t="n">
        <v>46011</v>
      </c>
      <c r="D2826" t="inlineStr">
        <is>
          <t>VÄSTRA GÖTALANDS LÄN</t>
        </is>
      </c>
      <c r="E2826" t="inlineStr">
        <is>
          <t>SKÖVDE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36244-2022</t>
        </is>
      </c>
      <c r="B2827" s="1" t="n">
        <v>44803</v>
      </c>
      <c r="C2827" s="1" t="n">
        <v>46011</v>
      </c>
      <c r="D2827" t="inlineStr">
        <is>
          <t>VÄSTRA GÖTALANDS LÄN</t>
        </is>
      </c>
      <c r="E2827" t="inlineStr">
        <is>
          <t>GÖTENE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54543-2021</t>
        </is>
      </c>
      <c r="B2828" s="1" t="n">
        <v>44473</v>
      </c>
      <c r="C2828" s="1" t="n">
        <v>46011</v>
      </c>
      <c r="D2828" t="inlineStr">
        <is>
          <t>VÄSTRA GÖTALANDS LÄN</t>
        </is>
      </c>
      <c r="E2828" t="inlineStr">
        <is>
          <t>MARK</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64837-2021</t>
        </is>
      </c>
      <c r="B2829" s="1" t="n">
        <v>44512</v>
      </c>
      <c r="C2829" s="1" t="n">
        <v>46011</v>
      </c>
      <c r="D2829" t="inlineStr">
        <is>
          <t>VÄSTRA GÖTALANDS LÄN</t>
        </is>
      </c>
      <c r="E2829" t="inlineStr">
        <is>
          <t>BENGTSFORS</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10415-2022</t>
        </is>
      </c>
      <c r="B2830" s="1" t="n">
        <v>44623.45966435185</v>
      </c>
      <c r="C2830" s="1" t="n">
        <v>46011</v>
      </c>
      <c r="D2830" t="inlineStr">
        <is>
          <t>VÄSTRA GÖTALANDS LÄN</t>
        </is>
      </c>
      <c r="E2830" t="inlineStr">
        <is>
          <t>FALKÖPING</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12419-2022</t>
        </is>
      </c>
      <c r="B2831" s="1" t="n">
        <v>44638.3171875</v>
      </c>
      <c r="C2831" s="1" t="n">
        <v>46011</v>
      </c>
      <c r="D2831" t="inlineStr">
        <is>
          <t>VÄSTRA GÖTALANDS LÄN</t>
        </is>
      </c>
      <c r="E2831" t="inlineStr">
        <is>
          <t>SVENLJUNGA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12443-2022</t>
        </is>
      </c>
      <c r="B2832" s="1" t="n">
        <v>44638</v>
      </c>
      <c r="C2832" s="1" t="n">
        <v>46011</v>
      </c>
      <c r="D2832" t="inlineStr">
        <is>
          <t>VÄSTRA GÖTALANDS LÄN</t>
        </is>
      </c>
      <c r="E2832" t="inlineStr">
        <is>
          <t>ULRICEHAMN</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34589-2022</t>
        </is>
      </c>
      <c r="B2833" s="1" t="n">
        <v>44795.36982638889</v>
      </c>
      <c r="C2833" s="1" t="n">
        <v>46011</v>
      </c>
      <c r="D2833" t="inlineStr">
        <is>
          <t>VÄSTRA GÖTALANDS LÄN</t>
        </is>
      </c>
      <c r="E2833" t="inlineStr">
        <is>
          <t>GULLSPÅNG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39171-2022</t>
        </is>
      </c>
      <c r="B2834" s="1" t="n">
        <v>44817</v>
      </c>
      <c r="C2834" s="1" t="n">
        <v>46011</v>
      </c>
      <c r="D2834" t="inlineStr">
        <is>
          <t>VÄSTRA GÖTALANDS LÄN</t>
        </is>
      </c>
      <c r="E2834" t="inlineStr">
        <is>
          <t>MELLERUD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71117-2021</t>
        </is>
      </c>
      <c r="B2835" s="1" t="n">
        <v>44539.37436342592</v>
      </c>
      <c r="C2835" s="1" t="n">
        <v>46011</v>
      </c>
      <c r="D2835" t="inlineStr">
        <is>
          <t>VÄSTRA GÖTALANDS LÄN</t>
        </is>
      </c>
      <c r="E2835" t="inlineStr">
        <is>
          <t>MARK</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71252-2021</t>
        </is>
      </c>
      <c r="B2836" s="1" t="n">
        <v>44539</v>
      </c>
      <c r="C2836" s="1" t="n">
        <v>46011</v>
      </c>
      <c r="D2836" t="inlineStr">
        <is>
          <t>VÄSTRA GÖTALANDS LÄN</t>
        </is>
      </c>
      <c r="E2836" t="inlineStr">
        <is>
          <t>MELLERUD</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66807-2021</t>
        </is>
      </c>
      <c r="B2837" s="1" t="n">
        <v>44522.37459490741</v>
      </c>
      <c r="C2837" s="1" t="n">
        <v>46011</v>
      </c>
      <c r="D2837" t="inlineStr">
        <is>
          <t>VÄSTRA GÖTALANDS LÄN</t>
        </is>
      </c>
      <c r="E2837" t="inlineStr">
        <is>
          <t>TRANEMO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15548-2022</t>
        </is>
      </c>
      <c r="B2838" s="1" t="n">
        <v>44662.48648148148</v>
      </c>
      <c r="C2838" s="1" t="n">
        <v>46011</v>
      </c>
      <c r="D2838" t="inlineStr">
        <is>
          <t>VÄSTRA GÖTALANDS LÄN</t>
        </is>
      </c>
      <c r="E2838" t="inlineStr">
        <is>
          <t>VÅRGÅRDA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10503-2022</t>
        </is>
      </c>
      <c r="B2839" s="1" t="n">
        <v>44623</v>
      </c>
      <c r="C2839" s="1" t="n">
        <v>46011</v>
      </c>
      <c r="D2839" t="inlineStr">
        <is>
          <t>VÄSTRA GÖTALANDS LÄN</t>
        </is>
      </c>
      <c r="E2839" t="inlineStr">
        <is>
          <t>VARA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10558-2022</t>
        </is>
      </c>
      <c r="B2840" s="1" t="n">
        <v>44624.30858796297</v>
      </c>
      <c r="C2840" s="1" t="n">
        <v>46011</v>
      </c>
      <c r="D2840" t="inlineStr">
        <is>
          <t>VÄSTRA GÖTALANDS LÄN</t>
        </is>
      </c>
      <c r="E2840" t="inlineStr">
        <is>
          <t>ULRICEHAMN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5177-2022</t>
        </is>
      </c>
      <c r="B2841" s="1" t="n">
        <v>44594</v>
      </c>
      <c r="C2841" s="1" t="n">
        <v>46011</v>
      </c>
      <c r="D2841" t="inlineStr">
        <is>
          <t>VÄSTRA GÖTALANDS LÄN</t>
        </is>
      </c>
      <c r="E2841" t="inlineStr">
        <is>
          <t>SKÖVDE</t>
        </is>
      </c>
      <c r="F2841" t="inlineStr">
        <is>
          <t>Kommuner</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8185-2022</t>
        </is>
      </c>
      <c r="B2842" s="1" t="n">
        <v>44609</v>
      </c>
      <c r="C2842" s="1" t="n">
        <v>46011</v>
      </c>
      <c r="D2842" t="inlineStr">
        <is>
          <t>VÄSTRA GÖTALANDS LÄN</t>
        </is>
      </c>
      <c r="E2842" t="inlineStr">
        <is>
          <t>MUNKEDAL</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5715-2021</t>
        </is>
      </c>
      <c r="B2843" s="1" t="n">
        <v>44229</v>
      </c>
      <c r="C2843" s="1" t="n">
        <v>46011</v>
      </c>
      <c r="D2843" t="inlineStr">
        <is>
          <t>VÄSTRA GÖTALANDS LÄN</t>
        </is>
      </c>
      <c r="E2843" t="inlineStr">
        <is>
          <t>TANUM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10166-2022</t>
        </is>
      </c>
      <c r="B2844" s="1" t="n">
        <v>44622</v>
      </c>
      <c r="C2844" s="1" t="n">
        <v>46011</v>
      </c>
      <c r="D2844" t="inlineStr">
        <is>
          <t>VÄSTRA GÖTALANDS LÄN</t>
        </is>
      </c>
      <c r="E2844" t="inlineStr">
        <is>
          <t>MARK</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10171-2022</t>
        </is>
      </c>
      <c r="B2845" s="1" t="n">
        <v>44622</v>
      </c>
      <c r="C2845" s="1" t="n">
        <v>46011</v>
      </c>
      <c r="D2845" t="inlineStr">
        <is>
          <t>VÄSTRA GÖTALANDS LÄN</t>
        </is>
      </c>
      <c r="E2845" t="inlineStr">
        <is>
          <t>FALKÖPING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59857-2021</t>
        </is>
      </c>
      <c r="B2846" s="1" t="n">
        <v>44494</v>
      </c>
      <c r="C2846" s="1" t="n">
        <v>46011</v>
      </c>
      <c r="D2846" t="inlineStr">
        <is>
          <t>VÄSTRA GÖTALANDS LÄN</t>
        </is>
      </c>
      <c r="E2846" t="inlineStr">
        <is>
          <t>UDDEVALLA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22846-2021</t>
        </is>
      </c>
      <c r="B2847" s="1" t="n">
        <v>44328</v>
      </c>
      <c r="C2847" s="1" t="n">
        <v>46011</v>
      </c>
      <c r="D2847" t="inlineStr">
        <is>
          <t>VÄSTRA GÖTALANDS LÄN</t>
        </is>
      </c>
      <c r="E2847" t="inlineStr">
        <is>
          <t>MARK</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12544-2022</t>
        </is>
      </c>
      <c r="B2848" s="1" t="n">
        <v>44638.65868055556</v>
      </c>
      <c r="C2848" s="1" t="n">
        <v>46011</v>
      </c>
      <c r="D2848" t="inlineStr">
        <is>
          <t>VÄSTRA GÖTALANDS LÄN</t>
        </is>
      </c>
      <c r="E2848" t="inlineStr">
        <is>
          <t>HJO</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61391-2021</t>
        </is>
      </c>
      <c r="B2849" s="1" t="n">
        <v>44500.76238425926</v>
      </c>
      <c r="C2849" s="1" t="n">
        <v>46011</v>
      </c>
      <c r="D2849" t="inlineStr">
        <is>
          <t>VÄSTRA GÖTALANDS LÄN</t>
        </is>
      </c>
      <c r="E2849" t="inlineStr">
        <is>
          <t>TRANEMO</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61148-2021</t>
        </is>
      </c>
      <c r="B2850" s="1" t="n">
        <v>44498</v>
      </c>
      <c r="C2850" s="1" t="n">
        <v>46011</v>
      </c>
      <c r="D2850" t="inlineStr">
        <is>
          <t>VÄSTRA GÖTALANDS LÄN</t>
        </is>
      </c>
      <c r="E2850" t="inlineStr">
        <is>
          <t>GÖTENE</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36888-2021</t>
        </is>
      </c>
      <c r="B2851" s="1" t="n">
        <v>44393</v>
      </c>
      <c r="C2851" s="1" t="n">
        <v>46011</v>
      </c>
      <c r="D2851" t="inlineStr">
        <is>
          <t>VÄSTRA GÖTALANDS LÄN</t>
        </is>
      </c>
      <c r="E2851" t="inlineStr">
        <is>
          <t>ULRICEHAMN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40173-2021</t>
        </is>
      </c>
      <c r="B2852" s="1" t="n">
        <v>44418.68386574074</v>
      </c>
      <c r="C2852" s="1" t="n">
        <v>46011</v>
      </c>
      <c r="D2852" t="inlineStr">
        <is>
          <t>VÄSTRA GÖTALANDS LÄN</t>
        </is>
      </c>
      <c r="E2852" t="inlineStr">
        <is>
          <t>FALKÖPING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9184-2022</t>
        </is>
      </c>
      <c r="B2853" s="1" t="n">
        <v>44615</v>
      </c>
      <c r="C2853" s="1" t="n">
        <v>46011</v>
      </c>
      <c r="D2853" t="inlineStr">
        <is>
          <t>VÄSTRA GÖTALANDS LÄN</t>
        </is>
      </c>
      <c r="E2853" t="inlineStr">
        <is>
          <t>HJO</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38945-2022</t>
        </is>
      </c>
      <c r="B2854" s="1" t="n">
        <v>44816</v>
      </c>
      <c r="C2854" s="1" t="n">
        <v>46011</v>
      </c>
      <c r="D2854" t="inlineStr">
        <is>
          <t>VÄSTRA GÖTALANDS LÄN</t>
        </is>
      </c>
      <c r="E2854" t="inlineStr">
        <is>
          <t>GÖTENE</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26650-2022</t>
        </is>
      </c>
      <c r="B2855" s="1" t="n">
        <v>44739.6103125</v>
      </c>
      <c r="C2855" s="1" t="n">
        <v>46011</v>
      </c>
      <c r="D2855" t="inlineStr">
        <is>
          <t>VÄSTRA GÖTALANDS LÄN</t>
        </is>
      </c>
      <c r="E2855" t="inlineStr">
        <is>
          <t>MÖLNDAL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17338-2022</t>
        </is>
      </c>
      <c r="B2856" s="1" t="n">
        <v>44678</v>
      </c>
      <c r="C2856" s="1" t="n">
        <v>46011</v>
      </c>
      <c r="D2856" t="inlineStr">
        <is>
          <t>VÄSTRA GÖTALANDS LÄN</t>
        </is>
      </c>
      <c r="E2856" t="inlineStr">
        <is>
          <t>MUNKEDAL</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13506-2022</t>
        </is>
      </c>
      <c r="B2857" s="1" t="n">
        <v>44648.29912037037</v>
      </c>
      <c r="C2857" s="1" t="n">
        <v>46011</v>
      </c>
      <c r="D2857" t="inlineStr">
        <is>
          <t>VÄSTRA GÖTALANDS LÄN</t>
        </is>
      </c>
      <c r="E2857" t="inlineStr">
        <is>
          <t>VÅRGÅRDA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17410-2022</t>
        </is>
      </c>
      <c r="B2858" s="1" t="n">
        <v>44678</v>
      </c>
      <c r="C2858" s="1" t="n">
        <v>46011</v>
      </c>
      <c r="D2858" t="inlineStr">
        <is>
          <t>VÄSTRA GÖTALANDS LÄN</t>
        </is>
      </c>
      <c r="E2858" t="inlineStr">
        <is>
          <t>BORÅS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21372-2022</t>
        </is>
      </c>
      <c r="B2859" s="1" t="n">
        <v>44705</v>
      </c>
      <c r="C2859" s="1" t="n">
        <v>46011</v>
      </c>
      <c r="D2859" t="inlineStr">
        <is>
          <t>VÄSTRA GÖTALANDS LÄN</t>
        </is>
      </c>
      <c r="E2859" t="inlineStr">
        <is>
          <t>DALS-ED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69322-2020</t>
        </is>
      </c>
      <c r="B2860" s="1" t="n">
        <v>44192</v>
      </c>
      <c r="C2860" s="1" t="n">
        <v>46011</v>
      </c>
      <c r="D2860" t="inlineStr">
        <is>
          <t>VÄSTRA GÖTALANDS LÄN</t>
        </is>
      </c>
      <c r="E2860" t="inlineStr">
        <is>
          <t>TÖREBODA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24146-2022</t>
        </is>
      </c>
      <c r="B2861" s="1" t="n">
        <v>44725</v>
      </c>
      <c r="C2861" s="1" t="n">
        <v>46011</v>
      </c>
      <c r="D2861" t="inlineStr">
        <is>
          <t>VÄSTRA GÖTALANDS LÄN</t>
        </is>
      </c>
      <c r="E2861" t="inlineStr">
        <is>
          <t>MARK</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4631-2022</t>
        </is>
      </c>
      <c r="B2862" s="1" t="n">
        <v>44592.403125</v>
      </c>
      <c r="C2862" s="1" t="n">
        <v>46011</v>
      </c>
      <c r="D2862" t="inlineStr">
        <is>
          <t>VÄSTRA GÖTALANDS LÄN</t>
        </is>
      </c>
      <c r="E2862" t="inlineStr">
        <is>
          <t>MARIESTAD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3147-2021</t>
        </is>
      </c>
      <c r="B2863" s="1" t="n">
        <v>44217</v>
      </c>
      <c r="C2863" s="1" t="n">
        <v>46011</v>
      </c>
      <c r="D2863" t="inlineStr">
        <is>
          <t>VÄSTRA GÖTALANDS LÄN</t>
        </is>
      </c>
      <c r="E2863" t="inlineStr">
        <is>
          <t>DALS-ED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21439-2022</t>
        </is>
      </c>
      <c r="B2864" s="1" t="n">
        <v>44706.34927083334</v>
      </c>
      <c r="C2864" s="1" t="n">
        <v>46011</v>
      </c>
      <c r="D2864" t="inlineStr">
        <is>
          <t>VÄSTRA GÖTALANDS LÄN</t>
        </is>
      </c>
      <c r="E2864" t="inlineStr">
        <is>
          <t>SVENLJUNGA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9786-2021</t>
        </is>
      </c>
      <c r="B2865" s="1" t="n">
        <v>44252.66797453703</v>
      </c>
      <c r="C2865" s="1" t="n">
        <v>46011</v>
      </c>
      <c r="D2865" t="inlineStr">
        <is>
          <t>VÄSTRA GÖTALANDS LÄN</t>
        </is>
      </c>
      <c r="E2865" t="inlineStr">
        <is>
          <t>TIDAHOLM</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517-2021</t>
        </is>
      </c>
      <c r="B2866" s="1" t="n">
        <v>44203</v>
      </c>
      <c r="C2866" s="1" t="n">
        <v>46011</v>
      </c>
      <c r="D2866" t="inlineStr">
        <is>
          <t>VÄSTRA GÖTALANDS LÄN</t>
        </is>
      </c>
      <c r="E2866" t="inlineStr">
        <is>
          <t>MARK</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54001-2021</t>
        </is>
      </c>
      <c r="B2867" s="1" t="n">
        <v>44470</v>
      </c>
      <c r="C2867" s="1" t="n">
        <v>46011</v>
      </c>
      <c r="D2867" t="inlineStr">
        <is>
          <t>VÄSTRA GÖTALANDS LÄN</t>
        </is>
      </c>
      <c r="E2867" t="inlineStr">
        <is>
          <t>MARK</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8170-2022</t>
        </is>
      </c>
      <c r="B2868" s="1" t="n">
        <v>44609</v>
      </c>
      <c r="C2868" s="1" t="n">
        <v>46011</v>
      </c>
      <c r="D2868" t="inlineStr">
        <is>
          <t>VÄSTRA GÖTALANDS LÄN</t>
        </is>
      </c>
      <c r="E2868" t="inlineStr">
        <is>
          <t>ULRICEHAMN</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18510-2022</t>
        </is>
      </c>
      <c r="B2869" s="1" t="n">
        <v>44686</v>
      </c>
      <c r="C2869" s="1" t="n">
        <v>46011</v>
      </c>
      <c r="D2869" t="inlineStr">
        <is>
          <t>VÄSTRA GÖTALANDS LÄN</t>
        </is>
      </c>
      <c r="E2869" t="inlineStr">
        <is>
          <t>ESSUNGA</t>
        </is>
      </c>
      <c r="F2869" t="inlineStr">
        <is>
          <t>Allmännings- och besparingsskogar</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69410-2020</t>
        </is>
      </c>
      <c r="B2870" s="1" t="n">
        <v>44193</v>
      </c>
      <c r="C2870" s="1" t="n">
        <v>46011</v>
      </c>
      <c r="D2870" t="inlineStr">
        <is>
          <t>VÄSTRA GÖTALANDS LÄN</t>
        </is>
      </c>
      <c r="E2870" t="inlineStr">
        <is>
          <t>ÅMÅL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7832-2021</t>
        </is>
      </c>
      <c r="B2871" s="1" t="n">
        <v>44242</v>
      </c>
      <c r="C2871" s="1" t="n">
        <v>46011</v>
      </c>
      <c r="D2871" t="inlineStr">
        <is>
          <t>VÄSTRA GÖTALANDS LÄN</t>
        </is>
      </c>
      <c r="E2871" t="inlineStr">
        <is>
          <t>LILLA EDET</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47057-2021</t>
        </is>
      </c>
      <c r="B2872" s="1" t="n">
        <v>44446</v>
      </c>
      <c r="C2872" s="1" t="n">
        <v>46011</v>
      </c>
      <c r="D2872" t="inlineStr">
        <is>
          <t>VÄSTRA GÖTALANDS LÄN</t>
        </is>
      </c>
      <c r="E2872" t="inlineStr">
        <is>
          <t>LIDKÖPING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27075-2021</t>
        </is>
      </c>
      <c r="B2873" s="1" t="n">
        <v>44350</v>
      </c>
      <c r="C2873" s="1" t="n">
        <v>46011</v>
      </c>
      <c r="D2873" t="inlineStr">
        <is>
          <t>VÄSTRA GÖTALANDS LÄN</t>
        </is>
      </c>
      <c r="E2873" t="inlineStr">
        <is>
          <t>TRANEMO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12107-2021</t>
        </is>
      </c>
      <c r="B2874" s="1" t="n">
        <v>44266</v>
      </c>
      <c r="C2874" s="1" t="n">
        <v>46011</v>
      </c>
      <c r="D2874" t="inlineStr">
        <is>
          <t>VÄSTRA GÖTALANDS LÄN</t>
        </is>
      </c>
      <c r="E2874" t="inlineStr">
        <is>
          <t>TÖREBODA</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20993-2021</t>
        </is>
      </c>
      <c r="B2875" s="1" t="n">
        <v>44318</v>
      </c>
      <c r="C2875" s="1" t="n">
        <v>46011</v>
      </c>
      <c r="D2875" t="inlineStr">
        <is>
          <t>VÄSTRA GÖTALANDS LÄN</t>
        </is>
      </c>
      <c r="E2875" t="inlineStr">
        <is>
          <t>TANUM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70164-2021</t>
        </is>
      </c>
      <c r="B2876" s="1" t="n">
        <v>44533</v>
      </c>
      <c r="C2876" s="1" t="n">
        <v>46011</v>
      </c>
      <c r="D2876" t="inlineStr">
        <is>
          <t>VÄSTRA GÖTALANDS LÄN</t>
        </is>
      </c>
      <c r="E2876" t="inlineStr">
        <is>
          <t>STRÖMSTAD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48285-2021</t>
        </is>
      </c>
      <c r="B2877" s="1" t="n">
        <v>44449.77408564815</v>
      </c>
      <c r="C2877" s="1" t="n">
        <v>46011</v>
      </c>
      <c r="D2877" t="inlineStr">
        <is>
          <t>VÄSTRA GÖTALANDS LÄN</t>
        </is>
      </c>
      <c r="E2877" t="inlineStr">
        <is>
          <t>BOLLEBYGD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21112-2021</t>
        </is>
      </c>
      <c r="B2878" s="1" t="n">
        <v>44319</v>
      </c>
      <c r="C2878" s="1" t="n">
        <v>46011</v>
      </c>
      <c r="D2878" t="inlineStr">
        <is>
          <t>VÄSTRA GÖTALANDS LÄN</t>
        </is>
      </c>
      <c r="E2878" t="inlineStr">
        <is>
          <t>TANUM</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8299-2021</t>
        </is>
      </c>
      <c r="B2879" s="1" t="n">
        <v>44243</v>
      </c>
      <c r="C2879" s="1" t="n">
        <v>46011</v>
      </c>
      <c r="D2879" t="inlineStr">
        <is>
          <t>VÄSTRA GÖTALANDS LÄN</t>
        </is>
      </c>
      <c r="E2879" t="inlineStr">
        <is>
          <t>GULLSPÅNG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40954-2021</t>
        </is>
      </c>
      <c r="B2880" s="1" t="n">
        <v>44421.56896990741</v>
      </c>
      <c r="C2880" s="1" t="n">
        <v>46011</v>
      </c>
      <c r="D2880" t="inlineStr">
        <is>
          <t>VÄSTRA GÖTALANDS LÄN</t>
        </is>
      </c>
      <c r="E2880" t="inlineStr">
        <is>
          <t>BENGTSFORS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69579-2020</t>
        </is>
      </c>
      <c r="B2881" s="1" t="n">
        <v>44195</v>
      </c>
      <c r="C2881" s="1" t="n">
        <v>46011</v>
      </c>
      <c r="D2881" t="inlineStr">
        <is>
          <t>VÄSTRA GÖTALANDS LÄN</t>
        </is>
      </c>
      <c r="E2881" t="inlineStr">
        <is>
          <t>VÄNERSBORG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796-2021</t>
        </is>
      </c>
      <c r="B2882" s="1" t="n">
        <v>44204</v>
      </c>
      <c r="C2882" s="1" t="n">
        <v>46011</v>
      </c>
      <c r="D2882" t="inlineStr">
        <is>
          <t>VÄSTRA GÖTALANDS LÄN</t>
        </is>
      </c>
      <c r="E2882" t="inlineStr">
        <is>
          <t>UDDEVALLA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47723-2021</t>
        </is>
      </c>
      <c r="B2883" s="1" t="n">
        <v>44448.50319444444</v>
      </c>
      <c r="C2883" s="1" t="n">
        <v>46011</v>
      </c>
      <c r="D2883" t="inlineStr">
        <is>
          <t>VÄSTRA GÖTALANDS LÄN</t>
        </is>
      </c>
      <c r="E2883" t="inlineStr">
        <is>
          <t>SVENLJUNGA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22698-2021</t>
        </is>
      </c>
      <c r="B2884" s="1" t="n">
        <v>44327.59719907407</v>
      </c>
      <c r="C2884" s="1" t="n">
        <v>46011</v>
      </c>
      <c r="D2884" t="inlineStr">
        <is>
          <t>VÄSTRA GÖTALANDS LÄN</t>
        </is>
      </c>
      <c r="E2884" t="inlineStr">
        <is>
          <t>MARK</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28375-2021</t>
        </is>
      </c>
      <c r="B2885" s="1" t="n">
        <v>44356</v>
      </c>
      <c r="C2885" s="1" t="n">
        <v>46011</v>
      </c>
      <c r="D2885" t="inlineStr">
        <is>
          <t>VÄSTRA GÖTALANDS LÄN</t>
        </is>
      </c>
      <c r="E2885" t="inlineStr">
        <is>
          <t>MUNKEDAL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27546-2021</t>
        </is>
      </c>
      <c r="B2886" s="1" t="n">
        <v>44351</v>
      </c>
      <c r="C2886" s="1" t="n">
        <v>46011</v>
      </c>
      <c r="D2886" t="inlineStr">
        <is>
          <t>VÄSTRA GÖTALANDS LÄN</t>
        </is>
      </c>
      <c r="E2886" t="inlineStr">
        <is>
          <t>HÄRRYDA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68818-2020</t>
        </is>
      </c>
      <c r="B2887" s="1" t="n">
        <v>44186</v>
      </c>
      <c r="C2887" s="1" t="n">
        <v>46011</v>
      </c>
      <c r="D2887" t="inlineStr">
        <is>
          <t>VÄSTRA GÖTALANDS LÄN</t>
        </is>
      </c>
      <c r="E2887" t="inlineStr">
        <is>
          <t>MELLERUD</t>
        </is>
      </c>
      <c r="G2887" t="n">
        <v>13.3</v>
      </c>
      <c r="H2887" t="n">
        <v>0</v>
      </c>
      <c r="I2887" t="n">
        <v>0</v>
      </c>
      <c r="J2887" t="n">
        <v>0</v>
      </c>
      <c r="K2887" t="n">
        <v>0</v>
      </c>
      <c r="L2887" t="n">
        <v>0</v>
      </c>
      <c r="M2887" t="n">
        <v>0</v>
      </c>
      <c r="N2887" t="n">
        <v>0</v>
      </c>
      <c r="O2887" t="n">
        <v>0</v>
      </c>
      <c r="P2887" t="n">
        <v>0</v>
      </c>
      <c r="Q2887" t="n">
        <v>0</v>
      </c>
      <c r="R2887" s="2" t="inlineStr"/>
    </row>
    <row r="2888" ht="15" customHeight="1">
      <c r="A2888" t="inlineStr">
        <is>
          <t>A 49365-2021</t>
        </is>
      </c>
      <c r="B2888" s="1" t="n">
        <v>44454.59979166667</v>
      </c>
      <c r="C2888" s="1" t="n">
        <v>46011</v>
      </c>
      <c r="D2888" t="inlineStr">
        <is>
          <t>VÄSTRA GÖTALANDS LÄN</t>
        </is>
      </c>
      <c r="E2888" t="inlineStr">
        <is>
          <t>GULLSPÅNG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27497-2021</t>
        </is>
      </c>
      <c r="B2889" s="1" t="n">
        <v>44351.63715277778</v>
      </c>
      <c r="C2889" s="1" t="n">
        <v>46011</v>
      </c>
      <c r="D2889" t="inlineStr">
        <is>
          <t>VÄSTRA GÖTALANDS LÄN</t>
        </is>
      </c>
      <c r="E2889" t="inlineStr">
        <is>
          <t>UDDEVALLA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8956-2022</t>
        </is>
      </c>
      <c r="B2890" s="1" t="n">
        <v>44614.88405092592</v>
      </c>
      <c r="C2890" s="1" t="n">
        <v>46011</v>
      </c>
      <c r="D2890" t="inlineStr">
        <is>
          <t>VÄSTRA GÖTALANDS LÄN</t>
        </is>
      </c>
      <c r="E2890" t="inlineStr">
        <is>
          <t>SVENLJUNGA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47179-2021</t>
        </is>
      </c>
      <c r="B2891" s="1" t="n">
        <v>44446</v>
      </c>
      <c r="C2891" s="1" t="n">
        <v>46011</v>
      </c>
      <c r="D2891" t="inlineStr">
        <is>
          <t>VÄSTRA GÖTALANDS LÄN</t>
        </is>
      </c>
      <c r="E2891" t="inlineStr">
        <is>
          <t>FÄRGELANDA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1295-2022</t>
        </is>
      </c>
      <c r="B2892" s="1" t="n">
        <v>44572.68925925926</v>
      </c>
      <c r="C2892" s="1" t="n">
        <v>46011</v>
      </c>
      <c r="D2892" t="inlineStr">
        <is>
          <t>VÄSTRA GÖTALANDS LÄN</t>
        </is>
      </c>
      <c r="E2892" t="inlineStr">
        <is>
          <t>TROLLHÄTTAN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51794-2021</t>
        </is>
      </c>
      <c r="B2893" s="1" t="n">
        <v>44462.63238425926</v>
      </c>
      <c r="C2893" s="1" t="n">
        <v>46011</v>
      </c>
      <c r="D2893" t="inlineStr">
        <is>
          <t>VÄSTRA GÖTALANDS LÄN</t>
        </is>
      </c>
      <c r="E2893" t="inlineStr">
        <is>
          <t>MARK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35204-2021</t>
        </is>
      </c>
      <c r="B2894" s="1" t="n">
        <v>44383</v>
      </c>
      <c r="C2894" s="1" t="n">
        <v>46011</v>
      </c>
      <c r="D2894" t="inlineStr">
        <is>
          <t>VÄSTRA GÖTALANDS LÄN</t>
        </is>
      </c>
      <c r="E2894" t="inlineStr">
        <is>
          <t>FÄRGELANDA</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30560-2022</t>
        </is>
      </c>
      <c r="B2895" s="1" t="n">
        <v>44762.55376157408</v>
      </c>
      <c r="C2895" s="1" t="n">
        <v>46011</v>
      </c>
      <c r="D2895" t="inlineStr">
        <is>
          <t>VÄSTRA GÖTALANDS LÄN</t>
        </is>
      </c>
      <c r="E2895" t="inlineStr">
        <is>
          <t>SKÖVDE</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15223-2022</t>
        </is>
      </c>
      <c r="B2896" s="1" t="n">
        <v>44658</v>
      </c>
      <c r="C2896" s="1" t="n">
        <v>46011</v>
      </c>
      <c r="D2896" t="inlineStr">
        <is>
          <t>VÄSTRA GÖTALANDS LÄN</t>
        </is>
      </c>
      <c r="E2896" t="inlineStr">
        <is>
          <t>SVENLJUNGA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24397-2022</t>
        </is>
      </c>
      <c r="B2897" s="1" t="n">
        <v>44726</v>
      </c>
      <c r="C2897" s="1" t="n">
        <v>46011</v>
      </c>
      <c r="D2897" t="inlineStr">
        <is>
          <t>VÄSTRA GÖTALANDS LÄN</t>
        </is>
      </c>
      <c r="E2897" t="inlineStr">
        <is>
          <t>BORÅS</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52349-2021</t>
        </is>
      </c>
      <c r="B2898" s="1" t="n">
        <v>44464.50724537037</v>
      </c>
      <c r="C2898" s="1" t="n">
        <v>46011</v>
      </c>
      <c r="D2898" t="inlineStr">
        <is>
          <t>VÄSTRA GÖTALANDS LÄN</t>
        </is>
      </c>
      <c r="E2898" t="inlineStr">
        <is>
          <t>ULRICEHAMN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9413-2021</t>
        </is>
      </c>
      <c r="B2899" s="1" t="n">
        <v>44251</v>
      </c>
      <c r="C2899" s="1" t="n">
        <v>46011</v>
      </c>
      <c r="D2899" t="inlineStr">
        <is>
          <t>VÄSTRA GÖTALANDS LÄN</t>
        </is>
      </c>
      <c r="E2899" t="inlineStr">
        <is>
          <t>HERRLJUNGA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24464-2022</t>
        </is>
      </c>
      <c r="B2900" s="1" t="n">
        <v>44726</v>
      </c>
      <c r="C2900" s="1" t="n">
        <v>46011</v>
      </c>
      <c r="D2900" t="inlineStr">
        <is>
          <t>VÄSTRA GÖTALANDS LÄN</t>
        </is>
      </c>
      <c r="E2900" t="inlineStr">
        <is>
          <t>ALINGSÅS</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36623-2021</t>
        </is>
      </c>
      <c r="B2901" s="1" t="n">
        <v>44391</v>
      </c>
      <c r="C2901" s="1" t="n">
        <v>46011</v>
      </c>
      <c r="D2901" t="inlineStr">
        <is>
          <t>VÄSTRA GÖTALANDS LÄN</t>
        </is>
      </c>
      <c r="E2901" t="inlineStr">
        <is>
          <t>ULRICEHAMN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65970-2021</t>
        </is>
      </c>
      <c r="B2902" s="1" t="n">
        <v>44517.53170138889</v>
      </c>
      <c r="C2902" s="1" t="n">
        <v>46011</v>
      </c>
      <c r="D2902" t="inlineStr">
        <is>
          <t>VÄSTRA GÖTALANDS LÄN</t>
        </is>
      </c>
      <c r="E2902" t="inlineStr">
        <is>
          <t>SVENLJUNGA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32660-2021</t>
        </is>
      </c>
      <c r="B2903" s="1" t="n">
        <v>44375.45502314815</v>
      </c>
      <c r="C2903" s="1" t="n">
        <v>46011</v>
      </c>
      <c r="D2903" t="inlineStr">
        <is>
          <t>VÄSTRA GÖTALANDS LÄN</t>
        </is>
      </c>
      <c r="E2903" t="inlineStr">
        <is>
          <t>SVENLJUNGA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35418-2021</t>
        </is>
      </c>
      <c r="B2904" s="1" t="n">
        <v>44385.4378125</v>
      </c>
      <c r="C2904" s="1" t="n">
        <v>46011</v>
      </c>
      <c r="D2904" t="inlineStr">
        <is>
          <t>VÄSTRA GÖTALANDS LÄN</t>
        </is>
      </c>
      <c r="E2904" t="inlineStr">
        <is>
          <t>MARK</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36708-2021</t>
        </is>
      </c>
      <c r="B2905" s="1" t="n">
        <v>44392</v>
      </c>
      <c r="C2905" s="1" t="n">
        <v>46011</v>
      </c>
      <c r="D2905" t="inlineStr">
        <is>
          <t>VÄSTRA GÖTALANDS LÄN</t>
        </is>
      </c>
      <c r="E2905" t="inlineStr">
        <is>
          <t>TIDAHOLM</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65303-2021</t>
        </is>
      </c>
      <c r="B2906" s="1" t="n">
        <v>44515</v>
      </c>
      <c r="C2906" s="1" t="n">
        <v>46011</v>
      </c>
      <c r="D2906" t="inlineStr">
        <is>
          <t>VÄSTRA GÖTALANDS LÄN</t>
        </is>
      </c>
      <c r="E2906" t="inlineStr">
        <is>
          <t>VÅRGÅRDA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59917-2021</t>
        </is>
      </c>
      <c r="B2907" s="1" t="n">
        <v>44494</v>
      </c>
      <c r="C2907" s="1" t="n">
        <v>46011</v>
      </c>
      <c r="D2907" t="inlineStr">
        <is>
          <t>VÄSTRA GÖTALANDS LÄN</t>
        </is>
      </c>
      <c r="E2907" t="inlineStr">
        <is>
          <t>STRÖMSTAD</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13589-2021</t>
        </is>
      </c>
      <c r="B2908" s="1" t="n">
        <v>44274</v>
      </c>
      <c r="C2908" s="1" t="n">
        <v>46011</v>
      </c>
      <c r="D2908" t="inlineStr">
        <is>
          <t>VÄSTRA GÖTALANDS LÄN</t>
        </is>
      </c>
      <c r="E2908" t="inlineStr">
        <is>
          <t>FÄRGELANDA</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26345-2022</t>
        </is>
      </c>
      <c r="B2909" s="1" t="n">
        <v>44735</v>
      </c>
      <c r="C2909" s="1" t="n">
        <v>46011</v>
      </c>
      <c r="D2909" t="inlineStr">
        <is>
          <t>VÄSTRA GÖTALANDS LÄN</t>
        </is>
      </c>
      <c r="E2909" t="inlineStr">
        <is>
          <t>LERUM</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26357-2022</t>
        </is>
      </c>
      <c r="B2910" s="1" t="n">
        <v>44735</v>
      </c>
      <c r="C2910" s="1" t="n">
        <v>46011</v>
      </c>
      <c r="D2910" t="inlineStr">
        <is>
          <t>VÄSTRA GÖTALANDS LÄN</t>
        </is>
      </c>
      <c r="E2910" t="inlineStr">
        <is>
          <t>TRANEMO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21097-2022</t>
        </is>
      </c>
      <c r="B2911" s="1" t="n">
        <v>44704.55649305556</v>
      </c>
      <c r="C2911" s="1" t="n">
        <v>46011</v>
      </c>
      <c r="D2911" t="inlineStr">
        <is>
          <t>VÄSTRA GÖTALANDS LÄN</t>
        </is>
      </c>
      <c r="E2911" t="inlineStr">
        <is>
          <t>MELLERUD</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21133-2022</t>
        </is>
      </c>
      <c r="B2912" s="1" t="n">
        <v>44704</v>
      </c>
      <c r="C2912" s="1" t="n">
        <v>46011</v>
      </c>
      <c r="D2912" t="inlineStr">
        <is>
          <t>VÄSTRA GÖTALANDS LÄN</t>
        </is>
      </c>
      <c r="E2912" t="inlineStr">
        <is>
          <t>LERUM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24090-2022</t>
        </is>
      </c>
      <c r="B2913" s="1" t="n">
        <v>44725</v>
      </c>
      <c r="C2913" s="1" t="n">
        <v>46011</v>
      </c>
      <c r="D2913" t="inlineStr">
        <is>
          <t>VÄSTRA GÖTALANDS LÄN</t>
        </is>
      </c>
      <c r="E2913" t="inlineStr">
        <is>
          <t>TANUM</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29345-2022</t>
        </is>
      </c>
      <c r="B2914" s="1" t="n">
        <v>44753.32299768519</v>
      </c>
      <c r="C2914" s="1" t="n">
        <v>46011</v>
      </c>
      <c r="D2914" t="inlineStr">
        <is>
          <t>VÄSTRA GÖTALANDS LÄN</t>
        </is>
      </c>
      <c r="E2914" t="inlineStr">
        <is>
          <t>VÄNERSBORG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40295-2022</t>
        </is>
      </c>
      <c r="B2915" s="1" t="n">
        <v>44821</v>
      </c>
      <c r="C2915" s="1" t="n">
        <v>46011</v>
      </c>
      <c r="D2915" t="inlineStr">
        <is>
          <t>VÄSTRA GÖTALANDS LÄN</t>
        </is>
      </c>
      <c r="E2915" t="inlineStr">
        <is>
          <t>BENGTSFORS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39287-2021</t>
        </is>
      </c>
      <c r="B2916" s="1" t="n">
        <v>44413.64280092593</v>
      </c>
      <c r="C2916" s="1" t="n">
        <v>46011</v>
      </c>
      <c r="D2916" t="inlineStr">
        <is>
          <t>VÄSTRA GÖTALANDS LÄN</t>
        </is>
      </c>
      <c r="E2916" t="inlineStr">
        <is>
          <t>UDDEVALLA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52599-2021</t>
        </is>
      </c>
      <c r="B2917" s="1" t="n">
        <v>44465</v>
      </c>
      <c r="C2917" s="1" t="n">
        <v>46011</v>
      </c>
      <c r="D2917" t="inlineStr">
        <is>
          <t>VÄSTRA GÖTALANDS LÄN</t>
        </is>
      </c>
      <c r="E2917" t="inlineStr">
        <is>
          <t>FÄRGELANDA</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6081-2021</t>
        </is>
      </c>
      <c r="B2918" s="1" t="n">
        <v>44232</v>
      </c>
      <c r="C2918" s="1" t="n">
        <v>46011</v>
      </c>
      <c r="D2918" t="inlineStr">
        <is>
          <t>VÄSTRA GÖTALANDS LÄN</t>
        </is>
      </c>
      <c r="E2918" t="inlineStr">
        <is>
          <t>BORÅS</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42295-2021</t>
        </is>
      </c>
      <c r="B2919" s="1" t="n">
        <v>44427.35878472222</v>
      </c>
      <c r="C2919" s="1" t="n">
        <v>46011</v>
      </c>
      <c r="D2919" t="inlineStr">
        <is>
          <t>VÄSTRA GÖTALANDS LÄN</t>
        </is>
      </c>
      <c r="E2919" t="inlineStr">
        <is>
          <t>HJO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74225-2021</t>
        </is>
      </c>
      <c r="B2920" s="1" t="n">
        <v>44558</v>
      </c>
      <c r="C2920" s="1" t="n">
        <v>46011</v>
      </c>
      <c r="D2920" t="inlineStr">
        <is>
          <t>VÄSTRA GÖTALANDS LÄN</t>
        </is>
      </c>
      <c r="E2920" t="inlineStr">
        <is>
          <t>BENGTSFORS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63539-2021</t>
        </is>
      </c>
      <c r="B2921" s="1" t="n">
        <v>44508</v>
      </c>
      <c r="C2921" s="1" t="n">
        <v>46011</v>
      </c>
      <c r="D2921" t="inlineStr">
        <is>
          <t>VÄSTRA GÖTALANDS LÄN</t>
        </is>
      </c>
      <c r="E2921" t="inlineStr">
        <is>
          <t>MELLERUD</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63595-2021</t>
        </is>
      </c>
      <c r="B2922" s="1" t="n">
        <v>44508</v>
      </c>
      <c r="C2922" s="1" t="n">
        <v>46011</v>
      </c>
      <c r="D2922" t="inlineStr">
        <is>
          <t>VÄSTRA GÖTALANDS LÄN</t>
        </is>
      </c>
      <c r="E2922" t="inlineStr">
        <is>
          <t>HÄRRYDA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21368-2022</t>
        </is>
      </c>
      <c r="B2923" s="1" t="n">
        <v>44705</v>
      </c>
      <c r="C2923" s="1" t="n">
        <v>46011</v>
      </c>
      <c r="D2923" t="inlineStr">
        <is>
          <t>VÄSTRA GÖTALANDS LÄN</t>
        </is>
      </c>
      <c r="E2923" t="inlineStr">
        <is>
          <t>DALS-ED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21380-2022</t>
        </is>
      </c>
      <c r="B2924" s="1" t="n">
        <v>44705</v>
      </c>
      <c r="C2924" s="1" t="n">
        <v>46011</v>
      </c>
      <c r="D2924" t="inlineStr">
        <is>
          <t>VÄSTRA GÖTALANDS LÄN</t>
        </is>
      </c>
      <c r="E2924" t="inlineStr">
        <is>
          <t>TRANEMO</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5241-2022</t>
        </is>
      </c>
      <c r="B2925" s="1" t="n">
        <v>44594</v>
      </c>
      <c r="C2925" s="1" t="n">
        <v>46011</v>
      </c>
      <c r="D2925" t="inlineStr">
        <is>
          <t>VÄSTRA GÖTALANDS LÄN</t>
        </is>
      </c>
      <c r="E2925" t="inlineStr">
        <is>
          <t>BENGTSFORS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51828-2021</t>
        </is>
      </c>
      <c r="B2926" s="1" t="n">
        <v>44462.65415509259</v>
      </c>
      <c r="C2926" s="1" t="n">
        <v>46011</v>
      </c>
      <c r="D2926" t="inlineStr">
        <is>
          <t>VÄSTRA GÖTALANDS LÄN</t>
        </is>
      </c>
      <c r="E2926" t="inlineStr">
        <is>
          <t>MARK</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25727-2021</t>
        </is>
      </c>
      <c r="B2927" s="1" t="n">
        <v>44343.62659722222</v>
      </c>
      <c r="C2927" s="1" t="n">
        <v>46011</v>
      </c>
      <c r="D2927" t="inlineStr">
        <is>
          <t>VÄSTRA GÖTALANDS LÄN</t>
        </is>
      </c>
      <c r="E2927" t="inlineStr">
        <is>
          <t>SVENLJUNGA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29655-2021</t>
        </is>
      </c>
      <c r="B2928" s="1" t="n">
        <v>44361.51533564815</v>
      </c>
      <c r="C2928" s="1" t="n">
        <v>46011</v>
      </c>
      <c r="D2928" t="inlineStr">
        <is>
          <t>VÄSTRA GÖTALANDS LÄN</t>
        </is>
      </c>
      <c r="E2928" t="inlineStr">
        <is>
          <t>UDDEVALLA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57801-2021</t>
        </is>
      </c>
      <c r="B2929" s="1" t="n">
        <v>44484</v>
      </c>
      <c r="C2929" s="1" t="n">
        <v>46011</v>
      </c>
      <c r="D2929" t="inlineStr">
        <is>
          <t>VÄSTRA GÖTALANDS LÄN</t>
        </is>
      </c>
      <c r="E2929" t="inlineStr">
        <is>
          <t>MELLERUD</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42048-2021</t>
        </is>
      </c>
      <c r="B2930" s="1" t="n">
        <v>44426</v>
      </c>
      <c r="C2930" s="1" t="n">
        <v>46011</v>
      </c>
      <c r="D2930" t="inlineStr">
        <is>
          <t>VÄSTRA GÖTALANDS LÄN</t>
        </is>
      </c>
      <c r="E2930" t="inlineStr">
        <is>
          <t>TIBRO</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7212-2022</t>
        </is>
      </c>
      <c r="B2931" s="1" t="n">
        <v>44606</v>
      </c>
      <c r="C2931" s="1" t="n">
        <v>46011</v>
      </c>
      <c r="D2931" t="inlineStr">
        <is>
          <t>VÄSTRA GÖTALANDS LÄN</t>
        </is>
      </c>
      <c r="E2931" t="inlineStr">
        <is>
          <t>MARK</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25790-2021</t>
        </is>
      </c>
      <c r="B2932" s="1" t="n">
        <v>44343.83640046296</v>
      </c>
      <c r="C2932" s="1" t="n">
        <v>46011</v>
      </c>
      <c r="D2932" t="inlineStr">
        <is>
          <t>VÄSTRA GÖTALANDS LÄN</t>
        </is>
      </c>
      <c r="E2932" t="inlineStr">
        <is>
          <t>STRÖMSTAD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25795-2021</t>
        </is>
      </c>
      <c r="B2933" s="1" t="n">
        <v>44343</v>
      </c>
      <c r="C2933" s="1" t="n">
        <v>46011</v>
      </c>
      <c r="D2933" t="inlineStr">
        <is>
          <t>VÄSTRA GÖTALANDS LÄN</t>
        </is>
      </c>
      <c r="E2933" t="inlineStr">
        <is>
          <t>STRÖMSTAD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35463-2022</t>
        </is>
      </c>
      <c r="B2934" s="1" t="n">
        <v>44798</v>
      </c>
      <c r="C2934" s="1" t="n">
        <v>46011</v>
      </c>
      <c r="D2934" t="inlineStr">
        <is>
          <t>VÄSTRA GÖTALANDS LÄN</t>
        </is>
      </c>
      <c r="E2934" t="inlineStr">
        <is>
          <t>TROLLHÄTTAN</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53899-2022</t>
        </is>
      </c>
      <c r="B2935" s="1" t="n">
        <v>44880.75383101852</v>
      </c>
      <c r="C2935" s="1" t="n">
        <v>46011</v>
      </c>
      <c r="D2935" t="inlineStr">
        <is>
          <t>VÄSTRA GÖTALANDS LÄN</t>
        </is>
      </c>
      <c r="E2935" t="inlineStr">
        <is>
          <t>ULRICEHAMN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38210-2022</t>
        </is>
      </c>
      <c r="B2936" s="1" t="n">
        <v>44812</v>
      </c>
      <c r="C2936" s="1" t="n">
        <v>46011</v>
      </c>
      <c r="D2936" t="inlineStr">
        <is>
          <t>VÄSTRA GÖTALANDS LÄN</t>
        </is>
      </c>
      <c r="E2936" t="inlineStr">
        <is>
          <t>SKARA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45075-2021</t>
        </is>
      </c>
      <c r="B2937" s="1" t="n">
        <v>44439.38043981481</v>
      </c>
      <c r="C2937" s="1" t="n">
        <v>46011</v>
      </c>
      <c r="D2937" t="inlineStr">
        <is>
          <t>VÄSTRA GÖTALANDS LÄN</t>
        </is>
      </c>
      <c r="E2937" t="inlineStr">
        <is>
          <t>ULRICEHAMN</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41048-2021</t>
        </is>
      </c>
      <c r="B2938" s="1" t="n">
        <v>44421</v>
      </c>
      <c r="C2938" s="1" t="n">
        <v>46011</v>
      </c>
      <c r="D2938" t="inlineStr">
        <is>
          <t>VÄSTRA GÖTALANDS LÄN</t>
        </is>
      </c>
      <c r="E2938" t="inlineStr">
        <is>
          <t>HERRLJUNGA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55071-2021</t>
        </is>
      </c>
      <c r="B2939" s="1" t="n">
        <v>44474</v>
      </c>
      <c r="C2939" s="1" t="n">
        <v>46011</v>
      </c>
      <c r="D2939" t="inlineStr">
        <is>
          <t>VÄSTRA GÖTALANDS LÄN</t>
        </is>
      </c>
      <c r="E2939" t="inlineStr">
        <is>
          <t>FALKÖPING</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21085-2022</t>
        </is>
      </c>
      <c r="B2940" s="1" t="n">
        <v>44704.53440972222</v>
      </c>
      <c r="C2940" s="1" t="n">
        <v>46011</v>
      </c>
      <c r="D2940" t="inlineStr">
        <is>
          <t>VÄSTRA GÖTALANDS LÄN</t>
        </is>
      </c>
      <c r="E2940" t="inlineStr">
        <is>
          <t>VARA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2840-2022</t>
        </is>
      </c>
      <c r="B2941" s="1" t="n">
        <v>44580</v>
      </c>
      <c r="C2941" s="1" t="n">
        <v>46011</v>
      </c>
      <c r="D2941" t="inlineStr">
        <is>
          <t>VÄSTRA GÖTALANDS LÄN</t>
        </is>
      </c>
      <c r="E2941" t="inlineStr">
        <is>
          <t>TIDAHOLM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30878-2021</t>
        </is>
      </c>
      <c r="B2942" s="1" t="n">
        <v>44365</v>
      </c>
      <c r="C2942" s="1" t="n">
        <v>46011</v>
      </c>
      <c r="D2942" t="inlineStr">
        <is>
          <t>VÄSTRA GÖTALANDS LÄN</t>
        </is>
      </c>
      <c r="E2942" t="inlineStr">
        <is>
          <t>VÄNERSBORG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47162-2022</t>
        </is>
      </c>
      <c r="B2943" s="1" t="n">
        <v>44852.59957175926</v>
      </c>
      <c r="C2943" s="1" t="n">
        <v>46011</v>
      </c>
      <c r="D2943" t="inlineStr">
        <is>
          <t>VÄSTRA GÖTALANDS LÄN</t>
        </is>
      </c>
      <c r="E2943" t="inlineStr">
        <is>
          <t>TÖREBODA</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38247-2022</t>
        </is>
      </c>
      <c r="B2944" s="1" t="n">
        <v>44812</v>
      </c>
      <c r="C2944" s="1" t="n">
        <v>46011</v>
      </c>
      <c r="D2944" t="inlineStr">
        <is>
          <t>VÄSTRA GÖTALANDS LÄN</t>
        </is>
      </c>
      <c r="E2944" t="inlineStr">
        <is>
          <t>BENGTSFORS</t>
        </is>
      </c>
      <c r="F2944" t="inlineStr">
        <is>
          <t>Övriga Aktiebolag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28763-2022</t>
        </is>
      </c>
      <c r="B2945" s="1" t="n">
        <v>44749</v>
      </c>
      <c r="C2945" s="1" t="n">
        <v>46011</v>
      </c>
      <c r="D2945" t="inlineStr">
        <is>
          <t>VÄSTRA GÖTALANDS LÄN</t>
        </is>
      </c>
      <c r="E2945" t="inlineStr">
        <is>
          <t>BENGTSFORS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30174-2022</t>
        </is>
      </c>
      <c r="B2946" s="1" t="n">
        <v>44757</v>
      </c>
      <c r="C2946" s="1" t="n">
        <v>46011</v>
      </c>
      <c r="D2946" t="inlineStr">
        <is>
          <t>VÄSTRA GÖTALANDS LÄN</t>
        </is>
      </c>
      <c r="E2946" t="inlineStr">
        <is>
          <t>GÖTENE</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73814-2021</t>
        </is>
      </c>
      <c r="B2947" s="1" t="n">
        <v>44552</v>
      </c>
      <c r="C2947" s="1" t="n">
        <v>46011</v>
      </c>
      <c r="D2947" t="inlineStr">
        <is>
          <t>VÄSTRA GÖTALANDS LÄN</t>
        </is>
      </c>
      <c r="E2947" t="inlineStr">
        <is>
          <t>TRANEMO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43550-2021</t>
        </is>
      </c>
      <c r="B2948" s="1" t="n">
        <v>44433</v>
      </c>
      <c r="C2948" s="1" t="n">
        <v>46011</v>
      </c>
      <c r="D2948" t="inlineStr">
        <is>
          <t>VÄSTRA GÖTALANDS LÄN</t>
        </is>
      </c>
      <c r="E2948" t="inlineStr">
        <is>
          <t>TRANEMO</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48590-2022</t>
        </is>
      </c>
      <c r="B2949" s="1" t="n">
        <v>44859</v>
      </c>
      <c r="C2949" s="1" t="n">
        <v>46011</v>
      </c>
      <c r="D2949" t="inlineStr">
        <is>
          <t>VÄSTRA GÖTALANDS LÄN</t>
        </is>
      </c>
      <c r="E2949" t="inlineStr">
        <is>
          <t>SVENLJUNGA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40735-2022</t>
        </is>
      </c>
      <c r="B2950" s="1" t="n">
        <v>44824.54311342593</v>
      </c>
      <c r="C2950" s="1" t="n">
        <v>46011</v>
      </c>
      <c r="D2950" t="inlineStr">
        <is>
          <t>VÄSTRA GÖTALANDS LÄN</t>
        </is>
      </c>
      <c r="E2950" t="inlineStr">
        <is>
          <t>FALKÖPING</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39556-2022</t>
        </is>
      </c>
      <c r="B2951" s="1" t="n">
        <v>44818.56305555555</v>
      </c>
      <c r="C2951" s="1" t="n">
        <v>46011</v>
      </c>
      <c r="D2951" t="inlineStr">
        <is>
          <t>VÄSTRA GÖTALANDS LÄN</t>
        </is>
      </c>
      <c r="E2951" t="inlineStr">
        <is>
          <t>BOLLEBYGD</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60972-2021</t>
        </is>
      </c>
      <c r="B2952" s="1" t="n">
        <v>44497.56181712963</v>
      </c>
      <c r="C2952" s="1" t="n">
        <v>46011</v>
      </c>
      <c r="D2952" t="inlineStr">
        <is>
          <t>VÄSTRA GÖTALANDS LÄN</t>
        </is>
      </c>
      <c r="E2952" t="inlineStr">
        <is>
          <t>LYSEKIL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60975-2021</t>
        </is>
      </c>
      <c r="B2953" s="1" t="n">
        <v>44497.56990740741</v>
      </c>
      <c r="C2953" s="1" t="n">
        <v>46011</v>
      </c>
      <c r="D2953" t="inlineStr">
        <is>
          <t>VÄSTRA GÖTALANDS LÄN</t>
        </is>
      </c>
      <c r="E2953" t="inlineStr">
        <is>
          <t>BENGTSFORS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10726-2022</t>
        </is>
      </c>
      <c r="B2954" s="1" t="n">
        <v>44627.32611111111</v>
      </c>
      <c r="C2954" s="1" t="n">
        <v>46011</v>
      </c>
      <c r="D2954" t="inlineStr">
        <is>
          <t>VÄSTRA GÖTALANDS LÄN</t>
        </is>
      </c>
      <c r="E2954" t="inlineStr">
        <is>
          <t>LILLA EDET</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39634-2022</t>
        </is>
      </c>
      <c r="B2955" s="1" t="n">
        <v>44818</v>
      </c>
      <c r="C2955" s="1" t="n">
        <v>46011</v>
      </c>
      <c r="D2955" t="inlineStr">
        <is>
          <t>VÄSTRA GÖTALANDS LÄN</t>
        </is>
      </c>
      <c r="E2955" t="inlineStr">
        <is>
          <t>TÖREBODA</t>
        </is>
      </c>
      <c r="F2955" t="inlineStr">
        <is>
          <t>Kommuner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37451-2022</t>
        </is>
      </c>
      <c r="B2956" s="1" t="n">
        <v>44809</v>
      </c>
      <c r="C2956" s="1" t="n">
        <v>46011</v>
      </c>
      <c r="D2956" t="inlineStr">
        <is>
          <t>VÄSTRA GÖTALANDS LÄN</t>
        </is>
      </c>
      <c r="E2956" t="inlineStr">
        <is>
          <t>SKÖVDE</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68922-2021</t>
        </is>
      </c>
      <c r="B2957" s="1" t="n">
        <v>44530</v>
      </c>
      <c r="C2957" s="1" t="n">
        <v>46011</v>
      </c>
      <c r="D2957" t="inlineStr">
        <is>
          <t>VÄSTRA GÖTALANDS LÄN</t>
        </is>
      </c>
      <c r="E2957" t="inlineStr">
        <is>
          <t>MARIESTAD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68932-2021</t>
        </is>
      </c>
      <c r="B2958" s="1" t="n">
        <v>44530.4952662037</v>
      </c>
      <c r="C2958" s="1" t="n">
        <v>46011</v>
      </c>
      <c r="D2958" t="inlineStr">
        <is>
          <t>VÄSTRA GÖTALANDS LÄN</t>
        </is>
      </c>
      <c r="E2958" t="inlineStr">
        <is>
          <t>SKARA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10273-2022</t>
        </is>
      </c>
      <c r="B2959" s="1" t="n">
        <v>44622</v>
      </c>
      <c r="C2959" s="1" t="n">
        <v>46011</v>
      </c>
      <c r="D2959" t="inlineStr">
        <is>
          <t>VÄSTRA GÖTALANDS LÄN</t>
        </is>
      </c>
      <c r="E2959" t="inlineStr">
        <is>
          <t>TIDAHOLM</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9210-2022</t>
        </is>
      </c>
      <c r="B2960" s="1" t="n">
        <v>44616.2996875</v>
      </c>
      <c r="C2960" s="1" t="n">
        <v>46011</v>
      </c>
      <c r="D2960" t="inlineStr">
        <is>
          <t>VÄSTRA GÖTALANDS LÄN</t>
        </is>
      </c>
      <c r="E2960" t="inlineStr">
        <is>
          <t>HJO</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9212-2022</t>
        </is>
      </c>
      <c r="B2961" s="1" t="n">
        <v>44616.30952546297</v>
      </c>
      <c r="C2961" s="1" t="n">
        <v>46011</v>
      </c>
      <c r="D2961" t="inlineStr">
        <is>
          <t>VÄSTRA GÖTALANDS LÄN</t>
        </is>
      </c>
      <c r="E2961" t="inlineStr">
        <is>
          <t>VARA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38061-2022</t>
        </is>
      </c>
      <c r="B2962" s="1" t="n">
        <v>44811</v>
      </c>
      <c r="C2962" s="1" t="n">
        <v>46011</v>
      </c>
      <c r="D2962" t="inlineStr">
        <is>
          <t>VÄSTRA GÖTALANDS LÄN</t>
        </is>
      </c>
      <c r="E2962" t="inlineStr">
        <is>
          <t>GRÄSTORP</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13781-2022</t>
        </is>
      </c>
      <c r="B2963" s="1" t="n">
        <v>44649.52905092593</v>
      </c>
      <c r="C2963" s="1" t="n">
        <v>46011</v>
      </c>
      <c r="D2963" t="inlineStr">
        <is>
          <t>VÄSTRA GÖTALANDS LÄN</t>
        </is>
      </c>
      <c r="E2963" t="inlineStr">
        <is>
          <t>TRANEMO</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40164-2022</t>
        </is>
      </c>
      <c r="B2964" s="1" t="n">
        <v>44818</v>
      </c>
      <c r="C2964" s="1" t="n">
        <v>46011</v>
      </c>
      <c r="D2964" t="inlineStr">
        <is>
          <t>VÄSTRA GÖTALANDS LÄN</t>
        </is>
      </c>
      <c r="E2964" t="inlineStr">
        <is>
          <t>SKARA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19223-2022</t>
        </is>
      </c>
      <c r="B2965" s="1" t="n">
        <v>44692</v>
      </c>
      <c r="C2965" s="1" t="n">
        <v>46011</v>
      </c>
      <c r="D2965" t="inlineStr">
        <is>
          <t>VÄSTRA GÖTALANDS LÄN</t>
        </is>
      </c>
      <c r="E2965" t="inlineStr">
        <is>
          <t>MARK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4395-2022</t>
        </is>
      </c>
      <c r="B2966" s="1" t="n">
        <v>44588</v>
      </c>
      <c r="C2966" s="1" t="n">
        <v>46011</v>
      </c>
      <c r="D2966" t="inlineStr">
        <is>
          <t>VÄSTRA GÖTALANDS LÄN</t>
        </is>
      </c>
      <c r="E2966" t="inlineStr">
        <is>
          <t>STRÖMSTAD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1490-2021</t>
        </is>
      </c>
      <c r="B2967" s="1" t="n">
        <v>44209</v>
      </c>
      <c r="C2967" s="1" t="n">
        <v>46011</v>
      </c>
      <c r="D2967" t="inlineStr">
        <is>
          <t>VÄSTRA GÖTALANDS LÄN</t>
        </is>
      </c>
      <c r="E2967" t="inlineStr">
        <is>
          <t>TRANEMO</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33769-2021</t>
        </is>
      </c>
      <c r="B2968" s="1" t="n">
        <v>44378</v>
      </c>
      <c r="C2968" s="1" t="n">
        <v>46011</v>
      </c>
      <c r="D2968" t="inlineStr">
        <is>
          <t>VÄSTRA GÖTALANDS LÄN</t>
        </is>
      </c>
      <c r="E2968" t="inlineStr">
        <is>
          <t>ALINGSÅS</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33679-2022</t>
        </is>
      </c>
      <c r="B2969" s="1" t="n">
        <v>44789.65445601852</v>
      </c>
      <c r="C2969" s="1" t="n">
        <v>46011</v>
      </c>
      <c r="D2969" t="inlineStr">
        <is>
          <t>VÄSTRA GÖTALANDS LÄN</t>
        </is>
      </c>
      <c r="E2969" t="inlineStr">
        <is>
          <t>SVENLJUNGA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19887-2022</t>
        </is>
      </c>
      <c r="B2970" s="1" t="n">
        <v>44697.37650462963</v>
      </c>
      <c r="C2970" s="1" t="n">
        <v>46011</v>
      </c>
      <c r="D2970" t="inlineStr">
        <is>
          <t>VÄSTRA GÖTALANDS LÄN</t>
        </is>
      </c>
      <c r="E2970" t="inlineStr">
        <is>
          <t>MUNKEDAL</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69052-2020</t>
        </is>
      </c>
      <c r="B2971" s="1" t="n">
        <v>44188</v>
      </c>
      <c r="C2971" s="1" t="n">
        <v>46011</v>
      </c>
      <c r="D2971" t="inlineStr">
        <is>
          <t>VÄSTRA GÖTALANDS LÄN</t>
        </is>
      </c>
      <c r="E2971" t="inlineStr">
        <is>
          <t>SKARA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69156-2020</t>
        </is>
      </c>
      <c r="B2972" s="1" t="n">
        <v>44188</v>
      </c>
      <c r="C2972" s="1" t="n">
        <v>46011</v>
      </c>
      <c r="D2972" t="inlineStr">
        <is>
          <t>VÄSTRA GÖTALANDS LÄN</t>
        </is>
      </c>
      <c r="E2972" t="inlineStr">
        <is>
          <t>SKÖVDE</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3789-2021</t>
        </is>
      </c>
      <c r="B2973" s="1" t="n">
        <v>44221.80697916666</v>
      </c>
      <c r="C2973" s="1" t="n">
        <v>46011</v>
      </c>
      <c r="D2973" t="inlineStr">
        <is>
          <t>VÄSTRA GÖTALANDS LÄN</t>
        </is>
      </c>
      <c r="E2973" t="inlineStr">
        <is>
          <t>TANUM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11399-2021</t>
        </is>
      </c>
      <c r="B2974" s="1" t="n">
        <v>44263</v>
      </c>
      <c r="C2974" s="1" t="n">
        <v>46011</v>
      </c>
      <c r="D2974" t="inlineStr">
        <is>
          <t>VÄSTRA GÖTALANDS LÄN</t>
        </is>
      </c>
      <c r="E2974" t="inlineStr">
        <is>
          <t>ALINGSÅS</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11805-2021</t>
        </is>
      </c>
      <c r="B2975" s="1" t="n">
        <v>44265</v>
      </c>
      <c r="C2975" s="1" t="n">
        <v>46011</v>
      </c>
      <c r="D2975" t="inlineStr">
        <is>
          <t>VÄSTRA GÖTALANDS LÄN</t>
        </is>
      </c>
      <c r="E2975" t="inlineStr">
        <is>
          <t>GULLSPÅNG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103-2021</t>
        </is>
      </c>
      <c r="B2976" s="1" t="n">
        <v>44200</v>
      </c>
      <c r="C2976" s="1" t="n">
        <v>46011</v>
      </c>
      <c r="D2976" t="inlineStr">
        <is>
          <t>VÄSTRA GÖTALANDS LÄN</t>
        </is>
      </c>
      <c r="E2976" t="inlineStr">
        <is>
          <t>MUNKEDAL</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25927-2021</t>
        </is>
      </c>
      <c r="B2977" s="1" t="n">
        <v>44344.45417824074</v>
      </c>
      <c r="C2977" s="1" t="n">
        <v>46011</v>
      </c>
      <c r="D2977" t="inlineStr">
        <is>
          <t>VÄSTRA GÖTALANDS LÄN</t>
        </is>
      </c>
      <c r="E2977" t="inlineStr">
        <is>
          <t>SVENLJUNGA</t>
        </is>
      </c>
      <c r="F2977" t="inlineStr">
        <is>
          <t>Sveaskog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64529-2023</t>
        </is>
      </c>
      <c r="B2978" s="1" t="n">
        <v>45281</v>
      </c>
      <c r="C2978" s="1" t="n">
        <v>46011</v>
      </c>
      <c r="D2978" t="inlineStr">
        <is>
          <t>VÄSTRA GÖTALANDS LÄN</t>
        </is>
      </c>
      <c r="E2978" t="inlineStr">
        <is>
          <t>TANUM</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56671-2024</t>
        </is>
      </c>
      <c r="B2979" s="1" t="n">
        <v>45626.6325</v>
      </c>
      <c r="C2979" s="1" t="n">
        <v>46011</v>
      </c>
      <c r="D2979" t="inlineStr">
        <is>
          <t>VÄSTRA GÖTALANDS LÄN</t>
        </is>
      </c>
      <c r="E2979" t="inlineStr">
        <is>
          <t>ULRICEHAMN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56674-2024</t>
        </is>
      </c>
      <c r="B2980" s="1" t="n">
        <v>45626.77259259259</v>
      </c>
      <c r="C2980" s="1" t="n">
        <v>46011</v>
      </c>
      <c r="D2980" t="inlineStr">
        <is>
          <t>VÄSTRA GÖTALANDS LÄN</t>
        </is>
      </c>
      <c r="E2980" t="inlineStr">
        <is>
          <t>ULRICEHAMN</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64560-2023</t>
        </is>
      </c>
      <c r="B2981" s="1" t="n">
        <v>45281.4116087963</v>
      </c>
      <c r="C2981" s="1" t="n">
        <v>46011</v>
      </c>
      <c r="D2981" t="inlineStr">
        <is>
          <t>VÄSTRA GÖTALANDS LÄN</t>
        </is>
      </c>
      <c r="E2981" t="inlineStr">
        <is>
          <t>HÄRRYDA</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11129-2025</t>
        </is>
      </c>
      <c r="B2982" s="1" t="n">
        <v>45723.64576388889</v>
      </c>
      <c r="C2982" s="1" t="n">
        <v>46011</v>
      </c>
      <c r="D2982" t="inlineStr">
        <is>
          <t>VÄSTRA GÖTALANDS LÄN</t>
        </is>
      </c>
      <c r="E2982" t="inlineStr">
        <is>
          <t>HERRLJUNGA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56755-2024</t>
        </is>
      </c>
      <c r="B2983" s="1" t="n">
        <v>45628.39192129629</v>
      </c>
      <c r="C2983" s="1" t="n">
        <v>46011</v>
      </c>
      <c r="D2983" t="inlineStr">
        <is>
          <t>VÄSTRA GÖTALANDS LÄN</t>
        </is>
      </c>
      <c r="E2983" t="inlineStr">
        <is>
          <t>MARIESTAD</t>
        </is>
      </c>
      <c r="F2983" t="inlineStr">
        <is>
          <t>Sveaskog</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56788-2024</t>
        </is>
      </c>
      <c r="B2984" s="1" t="n">
        <v>45628.45511574074</v>
      </c>
      <c r="C2984" s="1" t="n">
        <v>46011</v>
      </c>
      <c r="D2984" t="inlineStr">
        <is>
          <t>VÄSTRA GÖTALANDS LÄN</t>
        </is>
      </c>
      <c r="E2984" t="inlineStr">
        <is>
          <t>VÅRGÅRDA</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7207-2025</t>
        </is>
      </c>
      <c r="B2985" s="1" t="n">
        <v>45702.47100694444</v>
      </c>
      <c r="C2985" s="1" t="n">
        <v>46011</v>
      </c>
      <c r="D2985" t="inlineStr">
        <is>
          <t>VÄSTRA GÖTALANDS LÄN</t>
        </is>
      </c>
      <c r="E2985" t="inlineStr">
        <is>
          <t>DALS-ED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31350-2022</t>
        </is>
      </c>
      <c r="B2986" s="1" t="n">
        <v>44774.55405092592</v>
      </c>
      <c r="C2986" s="1" t="n">
        <v>46011</v>
      </c>
      <c r="D2986" t="inlineStr">
        <is>
          <t>VÄSTRA GÖTALANDS LÄN</t>
        </is>
      </c>
      <c r="E2986" t="inlineStr">
        <is>
          <t>MUNKEDAL</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31388-2022</t>
        </is>
      </c>
      <c r="B2987" s="1" t="n">
        <v>44774.62195601852</v>
      </c>
      <c r="C2987" s="1" t="n">
        <v>46011</v>
      </c>
      <c r="D2987" t="inlineStr">
        <is>
          <t>VÄSTRA GÖTALANDS LÄN</t>
        </is>
      </c>
      <c r="E2987" t="inlineStr">
        <is>
          <t>STRÖMSTAD</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28103-2022</t>
        </is>
      </c>
      <c r="B2988" s="1" t="n">
        <v>44746</v>
      </c>
      <c r="C2988" s="1" t="n">
        <v>46011</v>
      </c>
      <c r="D2988" t="inlineStr">
        <is>
          <t>VÄSTRA GÖTALANDS LÄN</t>
        </is>
      </c>
      <c r="E2988" t="inlineStr">
        <is>
          <t>LERUM</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11142-2024</t>
        </is>
      </c>
      <c r="B2989" s="1" t="n">
        <v>45371.45964120371</v>
      </c>
      <c r="C2989" s="1" t="n">
        <v>46011</v>
      </c>
      <c r="D2989" t="inlineStr">
        <is>
          <t>VÄSTRA GÖTALANDS LÄN</t>
        </is>
      </c>
      <c r="E2989" t="inlineStr">
        <is>
          <t>TANUM</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16511-2021</t>
        </is>
      </c>
      <c r="B2990" s="1" t="n">
        <v>44293</v>
      </c>
      <c r="C2990" s="1" t="n">
        <v>46011</v>
      </c>
      <c r="D2990" t="inlineStr">
        <is>
          <t>VÄSTRA GÖTALANDS LÄN</t>
        </is>
      </c>
      <c r="E2990" t="inlineStr">
        <is>
          <t>GULLSPÅNG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36820-2022</t>
        </is>
      </c>
      <c r="B2991" s="1" t="n">
        <v>44805.55697916666</v>
      </c>
      <c r="C2991" s="1" t="n">
        <v>46011</v>
      </c>
      <c r="D2991" t="inlineStr">
        <is>
          <t>VÄSTRA GÖTALANDS LÄN</t>
        </is>
      </c>
      <c r="E2991" t="inlineStr">
        <is>
          <t>KARLSBORG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62890-2023</t>
        </is>
      </c>
      <c r="B2992" s="1" t="n">
        <v>45272</v>
      </c>
      <c r="C2992" s="1" t="n">
        <v>46011</v>
      </c>
      <c r="D2992" t="inlineStr">
        <is>
          <t>VÄSTRA GÖTALANDS LÄN</t>
        </is>
      </c>
      <c r="E2992" t="inlineStr">
        <is>
          <t>SKARA</t>
        </is>
      </c>
      <c r="G2992" t="n">
        <v>7.6</v>
      </c>
      <c r="H2992" t="n">
        <v>0</v>
      </c>
      <c r="I2992" t="n">
        <v>0</v>
      </c>
      <c r="J2992" t="n">
        <v>0</v>
      </c>
      <c r="K2992" t="n">
        <v>0</v>
      </c>
      <c r="L2992" t="n">
        <v>0</v>
      </c>
      <c r="M2992" t="n">
        <v>0</v>
      </c>
      <c r="N2992" t="n">
        <v>0</v>
      </c>
      <c r="O2992" t="n">
        <v>0</v>
      </c>
      <c r="P2992" t="n">
        <v>0</v>
      </c>
      <c r="Q2992" t="n">
        <v>0</v>
      </c>
      <c r="R2992" s="2" t="inlineStr"/>
    </row>
    <row r="2993" ht="15" customHeight="1">
      <c r="A2993" t="inlineStr">
        <is>
          <t>A 7248-2025</t>
        </is>
      </c>
      <c r="B2993" s="1" t="n">
        <v>45702.55677083333</v>
      </c>
      <c r="C2993" s="1" t="n">
        <v>46011</v>
      </c>
      <c r="D2993" t="inlineStr">
        <is>
          <t>VÄSTRA GÖTALANDS LÄN</t>
        </is>
      </c>
      <c r="E2993" t="inlineStr">
        <is>
          <t>LIDKÖPING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8471-2025</t>
        </is>
      </c>
      <c r="B2994" s="1" t="n">
        <v>45709.47332175926</v>
      </c>
      <c r="C2994" s="1" t="n">
        <v>46011</v>
      </c>
      <c r="D2994" t="inlineStr">
        <is>
          <t>VÄSTRA GÖTALANDS LÄN</t>
        </is>
      </c>
      <c r="E2994" t="inlineStr">
        <is>
          <t>MARIESTAD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3857-2025</t>
        </is>
      </c>
      <c r="B2995" s="1" t="n">
        <v>45682</v>
      </c>
      <c r="C2995" s="1" t="n">
        <v>46011</v>
      </c>
      <c r="D2995" t="inlineStr">
        <is>
          <t>VÄSTRA GÖTALANDS LÄN</t>
        </is>
      </c>
      <c r="E2995" t="inlineStr">
        <is>
          <t>MARIESTAD</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20412-2025</t>
        </is>
      </c>
      <c r="B2996" s="1" t="n">
        <v>45775.46091435185</v>
      </c>
      <c r="C2996" s="1" t="n">
        <v>46011</v>
      </c>
      <c r="D2996" t="inlineStr">
        <is>
          <t>VÄSTRA GÖTALANDS LÄN</t>
        </is>
      </c>
      <c r="E2996" t="inlineStr">
        <is>
          <t>BENGTSFORS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62290-2023</t>
        </is>
      </c>
      <c r="B2997" s="1" t="n">
        <v>45267.659375</v>
      </c>
      <c r="C2997" s="1" t="n">
        <v>46011</v>
      </c>
      <c r="D2997" t="inlineStr">
        <is>
          <t>VÄSTRA GÖTALANDS LÄN</t>
        </is>
      </c>
      <c r="E2997" t="inlineStr">
        <is>
          <t>SKÖVDE</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45459-2023</t>
        </is>
      </c>
      <c r="B2998" s="1" t="n">
        <v>45194</v>
      </c>
      <c r="C2998" s="1" t="n">
        <v>46011</v>
      </c>
      <c r="D2998" t="inlineStr">
        <is>
          <t>VÄSTRA GÖTALANDS LÄN</t>
        </is>
      </c>
      <c r="E2998" t="inlineStr">
        <is>
          <t>BORÅS</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53476-2023</t>
        </is>
      </c>
      <c r="B2999" s="1" t="n">
        <v>45230.33737268519</v>
      </c>
      <c r="C2999" s="1" t="n">
        <v>46011</v>
      </c>
      <c r="D2999" t="inlineStr">
        <is>
          <t>VÄSTRA GÖTALANDS LÄN</t>
        </is>
      </c>
      <c r="E2999" t="inlineStr">
        <is>
          <t>ALE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51207-2023</t>
        </is>
      </c>
      <c r="B3000" s="1" t="n">
        <v>45219.43929398148</v>
      </c>
      <c r="C3000" s="1" t="n">
        <v>46011</v>
      </c>
      <c r="D3000" t="inlineStr">
        <is>
          <t>VÄSTRA GÖTALANDS LÄN</t>
        </is>
      </c>
      <c r="E3000" t="inlineStr">
        <is>
          <t>FALKÖPING</t>
        </is>
      </c>
      <c r="G3000" t="n">
        <v>11.3</v>
      </c>
      <c r="H3000" t="n">
        <v>0</v>
      </c>
      <c r="I3000" t="n">
        <v>0</v>
      </c>
      <c r="J3000" t="n">
        <v>0</v>
      </c>
      <c r="K3000" t="n">
        <v>0</v>
      </c>
      <c r="L3000" t="n">
        <v>0</v>
      </c>
      <c r="M3000" t="n">
        <v>0</v>
      </c>
      <c r="N3000" t="n">
        <v>0</v>
      </c>
      <c r="O3000" t="n">
        <v>0</v>
      </c>
      <c r="P3000" t="n">
        <v>0</v>
      </c>
      <c r="Q3000" t="n">
        <v>0</v>
      </c>
      <c r="R3000" s="2" t="inlineStr"/>
    </row>
    <row r="3001" ht="15" customHeight="1">
      <c r="A3001" t="inlineStr">
        <is>
          <t>A 27256-2024</t>
        </is>
      </c>
      <c r="B3001" s="1" t="n">
        <v>45471.74501157407</v>
      </c>
      <c r="C3001" s="1" t="n">
        <v>46011</v>
      </c>
      <c r="D3001" t="inlineStr">
        <is>
          <t>VÄSTRA GÖTALANDS LÄN</t>
        </is>
      </c>
      <c r="E3001" t="inlineStr">
        <is>
          <t>ULRICEHAMN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7452-2025</t>
        </is>
      </c>
      <c r="B3002" s="1" t="n">
        <v>45705.42427083333</v>
      </c>
      <c r="C3002" s="1" t="n">
        <v>46011</v>
      </c>
      <c r="D3002" t="inlineStr">
        <is>
          <t>VÄSTRA GÖTALANDS LÄN</t>
        </is>
      </c>
      <c r="E3002" t="inlineStr">
        <is>
          <t>HERRLJUNGA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6010-2022</t>
        </is>
      </c>
      <c r="B3003" s="1" t="n">
        <v>44599</v>
      </c>
      <c r="C3003" s="1" t="n">
        <v>46011</v>
      </c>
      <c r="D3003" t="inlineStr">
        <is>
          <t>VÄSTRA GÖTALANDS LÄN</t>
        </is>
      </c>
      <c r="E3003" t="inlineStr">
        <is>
          <t>TRANEMO</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38476-2022</t>
        </is>
      </c>
      <c r="B3004" s="1" t="n">
        <v>44813</v>
      </c>
      <c r="C3004" s="1" t="n">
        <v>46011</v>
      </c>
      <c r="D3004" t="inlineStr">
        <is>
          <t>VÄSTRA GÖTALANDS LÄN</t>
        </is>
      </c>
      <c r="E3004" t="inlineStr">
        <is>
          <t>SVENLJUNGA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14945-2025</t>
        </is>
      </c>
      <c r="B3005" s="1" t="n">
        <v>45743.57135416667</v>
      </c>
      <c r="C3005" s="1" t="n">
        <v>46011</v>
      </c>
      <c r="D3005" t="inlineStr">
        <is>
          <t>VÄSTRA GÖTALANDS LÄN</t>
        </is>
      </c>
      <c r="E3005" t="inlineStr">
        <is>
          <t>ULRICEHAMN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32156-2022</t>
        </is>
      </c>
      <c r="B3006" s="1" t="n">
        <v>44781.323125</v>
      </c>
      <c r="C3006" s="1" t="n">
        <v>46011</v>
      </c>
      <c r="D3006" t="inlineStr">
        <is>
          <t>VÄSTRA GÖTALANDS LÄN</t>
        </is>
      </c>
      <c r="E3006" t="inlineStr">
        <is>
          <t>ULRICEHAMN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13399-2024</t>
        </is>
      </c>
      <c r="B3007" s="1" t="n">
        <v>45387.43239583333</v>
      </c>
      <c r="C3007" s="1" t="n">
        <v>46011</v>
      </c>
      <c r="D3007" t="inlineStr">
        <is>
          <t>VÄSTRA GÖTALANDS LÄN</t>
        </is>
      </c>
      <c r="E3007" t="inlineStr">
        <is>
          <t>TROLLHÄTTAN</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7486-2025</t>
        </is>
      </c>
      <c r="B3008" s="1" t="n">
        <v>45705.47484953704</v>
      </c>
      <c r="C3008" s="1" t="n">
        <v>46011</v>
      </c>
      <c r="D3008" t="inlineStr">
        <is>
          <t>VÄSTRA GÖTALANDS LÄN</t>
        </is>
      </c>
      <c r="E3008" t="inlineStr">
        <is>
          <t>MARIESTAD</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7487-2025</t>
        </is>
      </c>
      <c r="B3009" s="1" t="n">
        <v>45705.47769675926</v>
      </c>
      <c r="C3009" s="1" t="n">
        <v>46011</v>
      </c>
      <c r="D3009" t="inlineStr">
        <is>
          <t>VÄSTRA GÖTALANDS LÄN</t>
        </is>
      </c>
      <c r="E3009" t="inlineStr">
        <is>
          <t>MARIESTAD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31366-2024</t>
        </is>
      </c>
      <c r="B3010" s="1" t="n">
        <v>45505.37262731481</v>
      </c>
      <c r="C3010" s="1" t="n">
        <v>46011</v>
      </c>
      <c r="D3010" t="inlineStr">
        <is>
          <t>VÄSTRA GÖTALANDS LÄN</t>
        </is>
      </c>
      <c r="E3010" t="inlineStr">
        <is>
          <t>ULRICEHAMN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5816-2024</t>
        </is>
      </c>
      <c r="B3011" s="1" t="n">
        <v>45335.54832175926</v>
      </c>
      <c r="C3011" s="1" t="n">
        <v>46011</v>
      </c>
      <c r="D3011" t="inlineStr">
        <is>
          <t>VÄSTRA GÖTALANDS LÄN</t>
        </is>
      </c>
      <c r="E3011" t="inlineStr">
        <is>
          <t>SKARA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35961-2021</t>
        </is>
      </c>
      <c r="B3012" s="1" t="n">
        <v>44385</v>
      </c>
      <c r="C3012" s="1" t="n">
        <v>46011</v>
      </c>
      <c r="D3012" t="inlineStr">
        <is>
          <t>VÄSTRA GÖTALANDS LÄN</t>
        </is>
      </c>
      <c r="E3012" t="inlineStr">
        <is>
          <t>TROLLHÄTTAN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10710-2023</t>
        </is>
      </c>
      <c r="B3013" s="1" t="n">
        <v>44988.62121527778</v>
      </c>
      <c r="C3013" s="1" t="n">
        <v>46011</v>
      </c>
      <c r="D3013" t="inlineStr">
        <is>
          <t>VÄSTRA GÖTALANDS LÄN</t>
        </is>
      </c>
      <c r="E3013" t="inlineStr">
        <is>
          <t>SVENLJUNGA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30701-2022</t>
        </is>
      </c>
      <c r="B3014" s="1" t="n">
        <v>44763</v>
      </c>
      <c r="C3014" s="1" t="n">
        <v>46011</v>
      </c>
      <c r="D3014" t="inlineStr">
        <is>
          <t>VÄSTRA GÖTALANDS LÄN</t>
        </is>
      </c>
      <c r="E3014" t="inlineStr">
        <is>
          <t>STRÖMSTAD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13090-2025</t>
        </is>
      </c>
      <c r="B3015" s="1" t="n">
        <v>45734.65050925926</v>
      </c>
      <c r="C3015" s="1" t="n">
        <v>46011</v>
      </c>
      <c r="D3015" t="inlineStr">
        <is>
          <t>VÄSTRA GÖTALANDS LÄN</t>
        </is>
      </c>
      <c r="E3015" t="inlineStr">
        <is>
          <t>BENGTSFORS</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9783-2025</t>
        </is>
      </c>
      <c r="B3016" s="1" t="n">
        <v>45716.50848379629</v>
      </c>
      <c r="C3016" s="1" t="n">
        <v>46011</v>
      </c>
      <c r="D3016" t="inlineStr">
        <is>
          <t>VÄSTRA GÖTALANDS LÄN</t>
        </is>
      </c>
      <c r="E3016" t="inlineStr">
        <is>
          <t>MARIESTAD</t>
        </is>
      </c>
      <c r="F3016" t="inlineStr">
        <is>
          <t>Kyrkan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9494-2025</t>
        </is>
      </c>
      <c r="B3017" s="1" t="n">
        <v>45715.503125</v>
      </c>
      <c r="C3017" s="1" t="n">
        <v>46011</v>
      </c>
      <c r="D3017" t="inlineStr">
        <is>
          <t>VÄSTRA GÖTALANDS LÄN</t>
        </is>
      </c>
      <c r="E3017" t="inlineStr">
        <is>
          <t>HÄRRYDA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10449-2025</t>
        </is>
      </c>
      <c r="B3018" s="1" t="n">
        <v>45720</v>
      </c>
      <c r="C3018" s="1" t="n">
        <v>46011</v>
      </c>
      <c r="D3018" t="inlineStr">
        <is>
          <t>VÄSTRA GÖTALANDS LÄN</t>
        </is>
      </c>
      <c r="E3018" t="inlineStr">
        <is>
          <t>VARA</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9534-2025</t>
        </is>
      </c>
      <c r="B3019" s="1" t="n">
        <v>45715.57387731481</v>
      </c>
      <c r="C3019" s="1" t="n">
        <v>46011</v>
      </c>
      <c r="D3019" t="inlineStr">
        <is>
          <t>VÄSTRA GÖTALANDS LÄN</t>
        </is>
      </c>
      <c r="E3019" t="inlineStr">
        <is>
          <t>TRANEMO</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5005-2024</t>
        </is>
      </c>
      <c r="B3020" s="1" t="n">
        <v>45329.66890046297</v>
      </c>
      <c r="C3020" s="1" t="n">
        <v>46011</v>
      </c>
      <c r="D3020" t="inlineStr">
        <is>
          <t>VÄSTRA GÖTALANDS LÄN</t>
        </is>
      </c>
      <c r="E3020" t="inlineStr">
        <is>
          <t>TIDAHOLM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5008-2024</t>
        </is>
      </c>
      <c r="B3021" s="1" t="n">
        <v>45329</v>
      </c>
      <c r="C3021" s="1" t="n">
        <v>46011</v>
      </c>
      <c r="D3021" t="inlineStr">
        <is>
          <t>VÄSTRA GÖTALANDS LÄN</t>
        </is>
      </c>
      <c r="E3021" t="inlineStr">
        <is>
          <t>TIDAHOLM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12173-2022</t>
        </is>
      </c>
      <c r="B3022" s="1" t="n">
        <v>44636.73104166667</v>
      </c>
      <c r="C3022" s="1" t="n">
        <v>46011</v>
      </c>
      <c r="D3022" t="inlineStr">
        <is>
          <t>VÄSTRA GÖTALANDS LÄN</t>
        </is>
      </c>
      <c r="E3022" t="inlineStr">
        <is>
          <t>VARA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12175-2022</t>
        </is>
      </c>
      <c r="B3023" s="1" t="n">
        <v>44636.73430555555</v>
      </c>
      <c r="C3023" s="1" t="n">
        <v>46011</v>
      </c>
      <c r="D3023" t="inlineStr">
        <is>
          <t>VÄSTRA GÖTALANDS LÄN</t>
        </is>
      </c>
      <c r="E3023" t="inlineStr">
        <is>
          <t>VARA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3277-2021</t>
        </is>
      </c>
      <c r="B3024" s="1" t="n">
        <v>44217</v>
      </c>
      <c r="C3024" s="1" t="n">
        <v>46011</v>
      </c>
      <c r="D3024" t="inlineStr">
        <is>
          <t>VÄSTRA GÖTALANDS LÄN</t>
        </is>
      </c>
      <c r="E3024" t="inlineStr">
        <is>
          <t>MELLERUD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2657-2022</t>
        </is>
      </c>
      <c r="B3025" s="1" t="n">
        <v>44580.55488425926</v>
      </c>
      <c r="C3025" s="1" t="n">
        <v>46011</v>
      </c>
      <c r="D3025" t="inlineStr">
        <is>
          <t>VÄSTRA GÖTALANDS LÄN</t>
        </is>
      </c>
      <c r="E3025" t="inlineStr">
        <is>
          <t>FALKÖPING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7212-2024</t>
        </is>
      </c>
      <c r="B3026" s="1" t="n">
        <v>45344.62459490741</v>
      </c>
      <c r="C3026" s="1" t="n">
        <v>46011</v>
      </c>
      <c r="D3026" t="inlineStr">
        <is>
          <t>VÄSTRA GÖTALANDS LÄN</t>
        </is>
      </c>
      <c r="E3026" t="inlineStr">
        <is>
          <t>ULRICEHAMN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4661-2025</t>
        </is>
      </c>
      <c r="B3027" s="1" t="n">
        <v>45687.71972222222</v>
      </c>
      <c r="C3027" s="1" t="n">
        <v>46011</v>
      </c>
      <c r="D3027" t="inlineStr">
        <is>
          <t>VÄSTRA GÖTALANDS LÄN</t>
        </is>
      </c>
      <c r="E3027" t="inlineStr">
        <is>
          <t>ALINGSÅS</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7967-2024</t>
        </is>
      </c>
      <c r="B3028" s="1" t="n">
        <v>45350.58181712963</v>
      </c>
      <c r="C3028" s="1" t="n">
        <v>46011</v>
      </c>
      <c r="D3028" t="inlineStr">
        <is>
          <t>VÄSTRA GÖTALANDS LÄN</t>
        </is>
      </c>
      <c r="E3028" t="inlineStr">
        <is>
          <t>HERRLJUNGA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7989-2024</t>
        </is>
      </c>
      <c r="B3029" s="1" t="n">
        <v>45350</v>
      </c>
      <c r="C3029" s="1" t="n">
        <v>46011</v>
      </c>
      <c r="D3029" t="inlineStr">
        <is>
          <t>VÄSTRA GÖTALANDS LÄN</t>
        </is>
      </c>
      <c r="E3029" t="inlineStr">
        <is>
          <t>LERUM</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28622-2021</t>
        </is>
      </c>
      <c r="B3030" s="1" t="n">
        <v>44356</v>
      </c>
      <c r="C3030" s="1" t="n">
        <v>46011</v>
      </c>
      <c r="D3030" t="inlineStr">
        <is>
          <t>VÄSTRA GÖTALANDS LÄN</t>
        </is>
      </c>
      <c r="E3030" t="inlineStr">
        <is>
          <t>MARIESTAD</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12160-2024</t>
        </is>
      </c>
      <c r="B3031" s="1" t="n">
        <v>45377.80496527778</v>
      </c>
      <c r="C3031" s="1" t="n">
        <v>46011</v>
      </c>
      <c r="D3031" t="inlineStr">
        <is>
          <t>VÄSTRA GÖTALANDS LÄN</t>
        </is>
      </c>
      <c r="E3031" t="inlineStr">
        <is>
          <t>BOLLEBYGD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30998-2021</t>
        </is>
      </c>
      <c r="B3032" s="1" t="n">
        <v>44366</v>
      </c>
      <c r="C3032" s="1" t="n">
        <v>46011</v>
      </c>
      <c r="D3032" t="inlineStr">
        <is>
          <t>VÄSTRA GÖTALANDS LÄN</t>
        </is>
      </c>
      <c r="E3032" t="inlineStr">
        <is>
          <t>TRANEMO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43747-2023</t>
        </is>
      </c>
      <c r="B3033" s="1" t="n">
        <v>45187.47217592593</v>
      </c>
      <c r="C3033" s="1" t="n">
        <v>46011</v>
      </c>
      <c r="D3033" t="inlineStr">
        <is>
          <t>VÄSTRA GÖTALANDS LÄN</t>
        </is>
      </c>
      <c r="E3033" t="inlineStr">
        <is>
          <t>DALS-ED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43783-2023</t>
        </is>
      </c>
      <c r="B3034" s="1" t="n">
        <v>45187.52722222222</v>
      </c>
      <c r="C3034" s="1" t="n">
        <v>46011</v>
      </c>
      <c r="D3034" t="inlineStr">
        <is>
          <t>VÄSTRA GÖTALANDS LÄN</t>
        </is>
      </c>
      <c r="E3034" t="inlineStr">
        <is>
          <t>FALKÖPING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6588-2024</t>
        </is>
      </c>
      <c r="B3035" s="1" t="n">
        <v>45341.50043981482</v>
      </c>
      <c r="C3035" s="1" t="n">
        <v>46011</v>
      </c>
      <c r="D3035" t="inlineStr">
        <is>
          <t>VÄSTRA GÖTALANDS LÄN</t>
        </is>
      </c>
      <c r="E3035" t="inlineStr">
        <is>
          <t>FALKÖPING</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20110-2025</t>
        </is>
      </c>
      <c r="B3036" s="1" t="n">
        <v>45772.47270833333</v>
      </c>
      <c r="C3036" s="1" t="n">
        <v>46011</v>
      </c>
      <c r="D3036" t="inlineStr">
        <is>
          <t>VÄSTRA GÖTALANDS LÄN</t>
        </is>
      </c>
      <c r="E3036" t="inlineStr">
        <is>
          <t>BENGTSFORS</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20130-2025</t>
        </is>
      </c>
      <c r="B3037" s="1" t="n">
        <v>45772.50458333334</v>
      </c>
      <c r="C3037" s="1" t="n">
        <v>46011</v>
      </c>
      <c r="D3037" t="inlineStr">
        <is>
          <t>VÄSTRA GÖTALANDS LÄN</t>
        </is>
      </c>
      <c r="E3037" t="inlineStr">
        <is>
          <t>TANUM</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3295-2025</t>
        </is>
      </c>
      <c r="B3038" s="1" t="n">
        <v>45679.64409722222</v>
      </c>
      <c r="C3038" s="1" t="n">
        <v>46011</v>
      </c>
      <c r="D3038" t="inlineStr">
        <is>
          <t>VÄSTRA GÖTALANDS LÄN</t>
        </is>
      </c>
      <c r="E3038" t="inlineStr">
        <is>
          <t>MARK</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44680-2023</t>
        </is>
      </c>
      <c r="B3039" s="1" t="n">
        <v>45189.83261574074</v>
      </c>
      <c r="C3039" s="1" t="n">
        <v>46011</v>
      </c>
      <c r="D3039" t="inlineStr">
        <is>
          <t>VÄSTRA GÖTALANDS LÄN</t>
        </is>
      </c>
      <c r="E3039" t="inlineStr">
        <is>
          <t>LIDKÖPING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44684-2023</t>
        </is>
      </c>
      <c r="B3040" s="1" t="n">
        <v>45186</v>
      </c>
      <c r="C3040" s="1" t="n">
        <v>46011</v>
      </c>
      <c r="D3040" t="inlineStr">
        <is>
          <t>VÄSTRA GÖTALANDS LÄN</t>
        </is>
      </c>
      <c r="E3040" t="inlineStr">
        <is>
          <t>HJO</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13908-2021</t>
        </is>
      </c>
      <c r="B3041" s="1" t="n">
        <v>44277</v>
      </c>
      <c r="C3041" s="1" t="n">
        <v>46011</v>
      </c>
      <c r="D3041" t="inlineStr">
        <is>
          <t>VÄSTRA GÖTALANDS LÄN</t>
        </is>
      </c>
      <c r="E3041" t="inlineStr">
        <is>
          <t>UDDEVALLA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49986-2023</t>
        </is>
      </c>
      <c r="B3042" s="1" t="n">
        <v>45215.43009259259</v>
      </c>
      <c r="C3042" s="1" t="n">
        <v>46011</v>
      </c>
      <c r="D3042" t="inlineStr">
        <is>
          <t>VÄSTRA GÖTALANDS LÄN</t>
        </is>
      </c>
      <c r="E3042" t="inlineStr">
        <is>
          <t>ULRICEHAMN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49346-2023</t>
        </is>
      </c>
      <c r="B3043" s="1" t="n">
        <v>45211</v>
      </c>
      <c r="C3043" s="1" t="n">
        <v>46011</v>
      </c>
      <c r="D3043" t="inlineStr">
        <is>
          <t>VÄSTRA GÖTALANDS LÄN</t>
        </is>
      </c>
      <c r="E3043" t="inlineStr">
        <is>
          <t>TRANEMO</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49384-2023</t>
        </is>
      </c>
      <c r="B3044" s="1" t="n">
        <v>45205</v>
      </c>
      <c r="C3044" s="1" t="n">
        <v>46011</v>
      </c>
      <c r="D3044" t="inlineStr">
        <is>
          <t>VÄSTRA GÖTALANDS LÄN</t>
        </is>
      </c>
      <c r="E3044" t="inlineStr">
        <is>
          <t>LILLA EDET</t>
        </is>
      </c>
      <c r="F3044" t="inlineStr">
        <is>
          <t>Kyrkan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53273-2023</t>
        </is>
      </c>
      <c r="B3045" s="1" t="n">
        <v>45229</v>
      </c>
      <c r="C3045" s="1" t="n">
        <v>46011</v>
      </c>
      <c r="D3045" t="inlineStr">
        <is>
          <t>VÄSTRA GÖTALANDS LÄN</t>
        </is>
      </c>
      <c r="E3045" t="inlineStr">
        <is>
          <t>LIDKÖPING</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50011-2023</t>
        </is>
      </c>
      <c r="B3046" s="1" t="n">
        <v>45215</v>
      </c>
      <c r="C3046" s="1" t="n">
        <v>46011</v>
      </c>
      <c r="D3046" t="inlineStr">
        <is>
          <t>VÄSTRA GÖTALANDS LÄN</t>
        </is>
      </c>
      <c r="E3046" t="inlineStr">
        <is>
          <t>BOLLEBYGD</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53179-2023</t>
        </is>
      </c>
      <c r="B3047" s="1" t="n">
        <v>45229.40875</v>
      </c>
      <c r="C3047" s="1" t="n">
        <v>46011</v>
      </c>
      <c r="D3047" t="inlineStr">
        <is>
          <t>VÄSTRA GÖTALANDS LÄN</t>
        </is>
      </c>
      <c r="E3047" t="inlineStr">
        <is>
          <t>TIBRO</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50053-2023</t>
        </is>
      </c>
      <c r="B3048" s="1" t="n">
        <v>45215</v>
      </c>
      <c r="C3048" s="1" t="n">
        <v>46011</v>
      </c>
      <c r="D3048" t="inlineStr">
        <is>
          <t>VÄSTRA GÖTALANDS LÄN</t>
        </is>
      </c>
      <c r="E3048" t="inlineStr">
        <is>
          <t>MARIESTAD</t>
        </is>
      </c>
      <c r="G3048" t="n">
        <v>1.9</v>
      </c>
      <c r="H3048" t="n">
        <v>0</v>
      </c>
      <c r="I3048" t="n">
        <v>0</v>
      </c>
      <c r="J3048" t="n">
        <v>0</v>
      </c>
      <c r="K3048" t="n">
        <v>0</v>
      </c>
      <c r="L3048" t="n">
        <v>0</v>
      </c>
      <c r="M3048" t="n">
        <v>0</v>
      </c>
      <c r="N3048" t="n">
        <v>0</v>
      </c>
      <c r="O3048" t="n">
        <v>0</v>
      </c>
      <c r="P3048" t="n">
        <v>0</v>
      </c>
      <c r="Q3048" t="n">
        <v>0</v>
      </c>
      <c r="R3048" s="2" t="inlineStr"/>
      <c r="U3048">
        <f>HYPERLINK("https://klasma.github.io/Logging_1493/knärot/A 50053-2023 karta knärot.png", "A 50053-2023")</f>
        <v/>
      </c>
      <c r="V3048">
        <f>HYPERLINK("https://klasma.github.io/Logging_1493/klagomål/A 50053-2023 FSC-klagomål.docx", "A 50053-2023")</f>
        <v/>
      </c>
      <c r="W3048">
        <f>HYPERLINK("https://klasma.github.io/Logging_1493/klagomålsmail/A 50053-2023 FSC-klagomål mail.docx", "A 50053-2023")</f>
        <v/>
      </c>
      <c r="X3048">
        <f>HYPERLINK("https://klasma.github.io/Logging_1493/tillsyn/A 50053-2023 tillsynsbegäran.docx", "A 50053-2023")</f>
        <v/>
      </c>
      <c r="Y3048">
        <f>HYPERLINK("https://klasma.github.io/Logging_1493/tillsynsmail/A 50053-2023 tillsynsbegäran mail.docx", "A 50053-2023")</f>
        <v/>
      </c>
    </row>
    <row r="3049" ht="15" customHeight="1">
      <c r="A3049" t="inlineStr">
        <is>
          <t>A 41151-2022</t>
        </is>
      </c>
      <c r="B3049" s="1" t="n">
        <v>44825.8475</v>
      </c>
      <c r="C3049" s="1" t="n">
        <v>46011</v>
      </c>
      <c r="D3049" t="inlineStr">
        <is>
          <t>VÄSTRA GÖTALANDS LÄN</t>
        </is>
      </c>
      <c r="E3049" t="inlineStr">
        <is>
          <t>DALS-ED</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43864-2023</t>
        </is>
      </c>
      <c r="B3050" s="1" t="n">
        <v>45187</v>
      </c>
      <c r="C3050" s="1" t="n">
        <v>46011</v>
      </c>
      <c r="D3050" t="inlineStr">
        <is>
          <t>VÄSTRA GÖTALANDS LÄN</t>
        </is>
      </c>
      <c r="E3050" t="inlineStr">
        <is>
          <t>TANUM</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58454-2021</t>
        </is>
      </c>
      <c r="B3051" s="1" t="n">
        <v>44488.57824074074</v>
      </c>
      <c r="C3051" s="1" t="n">
        <v>46011</v>
      </c>
      <c r="D3051" t="inlineStr">
        <is>
          <t>VÄSTRA GÖTALANDS LÄN</t>
        </is>
      </c>
      <c r="E3051" t="inlineStr">
        <is>
          <t>BENGTSFORS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51162-2023</t>
        </is>
      </c>
      <c r="B3052" s="1" t="n">
        <v>45219</v>
      </c>
      <c r="C3052" s="1" t="n">
        <v>46011</v>
      </c>
      <c r="D3052" t="inlineStr">
        <is>
          <t>VÄSTRA GÖTALANDS LÄN</t>
        </is>
      </c>
      <c r="E3052" t="inlineStr">
        <is>
          <t>HÄRRYDA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62220-2023</t>
        </is>
      </c>
      <c r="B3053" s="1" t="n">
        <v>45267.53284722222</v>
      </c>
      <c r="C3053" s="1" t="n">
        <v>46011</v>
      </c>
      <c r="D3053" t="inlineStr">
        <is>
          <t>VÄSTRA GÖTALANDS LÄN</t>
        </is>
      </c>
      <c r="E3053" t="inlineStr">
        <is>
          <t>STENUNGSUND</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62221-2023</t>
        </is>
      </c>
      <c r="B3054" s="1" t="n">
        <v>45267.54049768519</v>
      </c>
      <c r="C3054" s="1" t="n">
        <v>46011</v>
      </c>
      <c r="D3054" t="inlineStr">
        <is>
          <t>VÄSTRA GÖTALANDS LÄN</t>
        </is>
      </c>
      <c r="E3054" t="inlineStr">
        <is>
          <t>KUNGÄLV</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28880-2022</t>
        </is>
      </c>
      <c r="B3055" s="1" t="n">
        <v>44749</v>
      </c>
      <c r="C3055" s="1" t="n">
        <v>46011</v>
      </c>
      <c r="D3055" t="inlineStr">
        <is>
          <t>VÄSTRA GÖTALANDS LÄN</t>
        </is>
      </c>
      <c r="E3055" t="inlineStr">
        <is>
          <t>ÅMÅL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4204-2024</t>
        </is>
      </c>
      <c r="B3056" s="1" t="n">
        <v>45324.36422453704</v>
      </c>
      <c r="C3056" s="1" t="n">
        <v>46011</v>
      </c>
      <c r="D3056" t="inlineStr">
        <is>
          <t>VÄSTRA GÖTALANDS LÄN</t>
        </is>
      </c>
      <c r="E3056" t="inlineStr">
        <is>
          <t>KUNGÄLV</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9852-2025</t>
        </is>
      </c>
      <c r="B3057" s="1" t="n">
        <v>45716</v>
      </c>
      <c r="C3057" s="1" t="n">
        <v>46011</v>
      </c>
      <c r="D3057" t="inlineStr">
        <is>
          <t>VÄSTRA GÖTALANDS LÄN</t>
        </is>
      </c>
      <c r="E3057" t="inlineStr">
        <is>
          <t>ÅMÅL</t>
        </is>
      </c>
      <c r="F3057" t="inlineStr">
        <is>
          <t>Bergvik skog väst AB</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65114-2021</t>
        </is>
      </c>
      <c r="B3058" s="1" t="n">
        <v>44515.41678240741</v>
      </c>
      <c r="C3058" s="1" t="n">
        <v>46011</v>
      </c>
      <c r="D3058" t="inlineStr">
        <is>
          <t>VÄSTRA GÖTALANDS LÄN</t>
        </is>
      </c>
      <c r="E3058" t="inlineStr">
        <is>
          <t>TIBRO</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20806-2023</t>
        </is>
      </c>
      <c r="B3059" s="1" t="n">
        <v>45058</v>
      </c>
      <c r="C3059" s="1" t="n">
        <v>46011</v>
      </c>
      <c r="D3059" t="inlineStr">
        <is>
          <t>VÄSTRA GÖTALANDS LÄN</t>
        </is>
      </c>
      <c r="E3059" t="inlineStr">
        <is>
          <t>VÅRGÅRDA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38002-2023</t>
        </is>
      </c>
      <c r="B3060" s="1" t="n">
        <v>45160</v>
      </c>
      <c r="C3060" s="1" t="n">
        <v>46011</v>
      </c>
      <c r="D3060" t="inlineStr">
        <is>
          <t>VÄSTRA GÖTALANDS LÄN</t>
        </is>
      </c>
      <c r="E3060" t="inlineStr">
        <is>
          <t>MARK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17025-2024</t>
        </is>
      </c>
      <c r="B3061" s="1" t="n">
        <v>45412.38614583333</v>
      </c>
      <c r="C3061" s="1" t="n">
        <v>46011</v>
      </c>
      <c r="D3061" t="inlineStr">
        <is>
          <t>VÄSTRA GÖTALANDS LÄN</t>
        </is>
      </c>
      <c r="E3061" t="inlineStr">
        <is>
          <t>BORÅS</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17071-2024</t>
        </is>
      </c>
      <c r="B3062" s="1" t="n">
        <v>45412.47715277778</v>
      </c>
      <c r="C3062" s="1" t="n">
        <v>46011</v>
      </c>
      <c r="D3062" t="inlineStr">
        <is>
          <t>VÄSTRA GÖTALANDS LÄN</t>
        </is>
      </c>
      <c r="E3062" t="inlineStr">
        <is>
          <t>LERUM</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11170-2025</t>
        </is>
      </c>
      <c r="B3063" s="1" t="n">
        <v>45724.41099537037</v>
      </c>
      <c r="C3063" s="1" t="n">
        <v>46011</v>
      </c>
      <c r="D3063" t="inlineStr">
        <is>
          <t>VÄSTRA GÖTALANDS LÄN</t>
        </is>
      </c>
      <c r="E3063" t="inlineStr">
        <is>
          <t>HERRLJUNGA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16123-2024</t>
        </is>
      </c>
      <c r="B3064" s="1" t="n">
        <v>45406.50541666667</v>
      </c>
      <c r="C3064" s="1" t="n">
        <v>46011</v>
      </c>
      <c r="D3064" t="inlineStr">
        <is>
          <t>VÄSTRA GÖTALANDS LÄN</t>
        </is>
      </c>
      <c r="E3064" t="inlineStr">
        <is>
          <t>MARK</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56892-2023</t>
        </is>
      </c>
      <c r="B3065" s="1" t="n">
        <v>45244</v>
      </c>
      <c r="C3065" s="1" t="n">
        <v>46011</v>
      </c>
      <c r="D3065" t="inlineStr">
        <is>
          <t>VÄSTRA GÖTALANDS LÄN</t>
        </is>
      </c>
      <c r="E3065" t="inlineStr">
        <is>
          <t>MUNKEDAL</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56918-2023</t>
        </is>
      </c>
      <c r="B3066" s="1" t="n">
        <v>45244.58456018518</v>
      </c>
      <c r="C3066" s="1" t="n">
        <v>46011</v>
      </c>
      <c r="D3066" t="inlineStr">
        <is>
          <t>VÄSTRA GÖTALANDS LÄN</t>
        </is>
      </c>
      <c r="E3066" t="inlineStr">
        <is>
          <t>FÄRGELANDA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26526-2022</t>
        </is>
      </c>
      <c r="B3067" s="1" t="n">
        <v>44739.44171296297</v>
      </c>
      <c r="C3067" s="1" t="n">
        <v>46011</v>
      </c>
      <c r="D3067" t="inlineStr">
        <is>
          <t>VÄSTRA GÖTALANDS LÄN</t>
        </is>
      </c>
      <c r="E3067" t="inlineStr">
        <is>
          <t>VÅRGÅRDA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19471-2023</t>
        </is>
      </c>
      <c r="B3068" s="1" t="n">
        <v>45050</v>
      </c>
      <c r="C3068" s="1" t="n">
        <v>46011</v>
      </c>
      <c r="D3068" t="inlineStr">
        <is>
          <t>VÄSTRA GÖTALANDS LÄN</t>
        </is>
      </c>
      <c r="E3068" t="inlineStr">
        <is>
          <t>ÅMÅL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19474-2023</t>
        </is>
      </c>
      <c r="B3069" s="1" t="n">
        <v>45050</v>
      </c>
      <c r="C3069" s="1" t="n">
        <v>46011</v>
      </c>
      <c r="D3069" t="inlineStr">
        <is>
          <t>VÄSTRA GÖTALANDS LÄN</t>
        </is>
      </c>
      <c r="E3069" t="inlineStr">
        <is>
          <t>FALKÖPING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19482-2023</t>
        </is>
      </c>
      <c r="B3070" s="1" t="n">
        <v>45050.44099537037</v>
      </c>
      <c r="C3070" s="1" t="n">
        <v>46011</v>
      </c>
      <c r="D3070" t="inlineStr">
        <is>
          <t>VÄSTRA GÖTALANDS LÄN</t>
        </is>
      </c>
      <c r="E3070" t="inlineStr">
        <is>
          <t>BORÅS</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50071-2023</t>
        </is>
      </c>
      <c r="B3071" s="1" t="n">
        <v>45215</v>
      </c>
      <c r="C3071" s="1" t="n">
        <v>46011</v>
      </c>
      <c r="D3071" t="inlineStr">
        <is>
          <t>VÄSTRA GÖTALANDS LÄN</t>
        </is>
      </c>
      <c r="E3071" t="inlineStr">
        <is>
          <t>KUNGÄLV</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46511-2023</t>
        </is>
      </c>
      <c r="B3072" s="1" t="n">
        <v>45197</v>
      </c>
      <c r="C3072" s="1" t="n">
        <v>46011</v>
      </c>
      <c r="D3072" t="inlineStr">
        <is>
          <t>VÄSTRA GÖTALANDS LÄN</t>
        </is>
      </c>
      <c r="E3072" t="inlineStr">
        <is>
          <t>BOLLEBYGD</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51694-2023</t>
        </is>
      </c>
      <c r="B3073" s="1" t="n">
        <v>45222.60958333333</v>
      </c>
      <c r="C3073" s="1" t="n">
        <v>46011</v>
      </c>
      <c r="D3073" t="inlineStr">
        <is>
          <t>VÄSTRA GÖTALANDS LÄN</t>
        </is>
      </c>
      <c r="E3073" t="inlineStr">
        <is>
          <t>TRANEMO</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9739-2024</t>
        </is>
      </c>
      <c r="B3074" s="1" t="n">
        <v>45362.591875</v>
      </c>
      <c r="C3074" s="1" t="n">
        <v>46011</v>
      </c>
      <c r="D3074" t="inlineStr">
        <is>
          <t>VÄSTRA GÖTALANDS LÄN</t>
        </is>
      </c>
      <c r="E3074" t="inlineStr">
        <is>
          <t>BENGTSFORS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16745-2023</t>
        </is>
      </c>
      <c r="B3075" s="1" t="n">
        <v>45030.83834490741</v>
      </c>
      <c r="C3075" s="1" t="n">
        <v>46011</v>
      </c>
      <c r="D3075" t="inlineStr">
        <is>
          <t>VÄSTRA GÖTALANDS LÄN</t>
        </is>
      </c>
      <c r="E3075" t="inlineStr">
        <is>
          <t>MELLERUD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7032-2024</t>
        </is>
      </c>
      <c r="B3076" s="1" t="n">
        <v>45343</v>
      </c>
      <c r="C3076" s="1" t="n">
        <v>46011</v>
      </c>
      <c r="D3076" t="inlineStr">
        <is>
          <t>VÄSTRA GÖTALANDS LÄN</t>
        </is>
      </c>
      <c r="E3076" t="inlineStr">
        <is>
          <t>MARIESTAD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46534-2023</t>
        </is>
      </c>
      <c r="B3077" s="1" t="n">
        <v>45197</v>
      </c>
      <c r="C3077" s="1" t="n">
        <v>46011</v>
      </c>
      <c r="D3077" t="inlineStr">
        <is>
          <t>VÄSTRA GÖTALANDS LÄN</t>
        </is>
      </c>
      <c r="E3077" t="inlineStr">
        <is>
          <t>BENGTSFORS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40444-2021</t>
        </is>
      </c>
      <c r="B3078" s="1" t="n">
        <v>44419</v>
      </c>
      <c r="C3078" s="1" t="n">
        <v>46011</v>
      </c>
      <c r="D3078" t="inlineStr">
        <is>
          <t>VÄSTRA GÖTALANDS LÄN</t>
        </is>
      </c>
      <c r="E3078" t="inlineStr">
        <is>
          <t>ULRICEHAMN</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37852-2022</t>
        </is>
      </c>
      <c r="B3079" s="1" t="n">
        <v>44811.30616898148</v>
      </c>
      <c r="C3079" s="1" t="n">
        <v>46011</v>
      </c>
      <c r="D3079" t="inlineStr">
        <is>
          <t>VÄSTRA GÖTALANDS LÄN</t>
        </is>
      </c>
      <c r="E3079" t="inlineStr">
        <is>
          <t>SVENLJUNGA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32710-2021</t>
        </is>
      </c>
      <c r="B3080" s="1" t="n">
        <v>44375.48304398148</v>
      </c>
      <c r="C3080" s="1" t="n">
        <v>46011</v>
      </c>
      <c r="D3080" t="inlineStr">
        <is>
          <t>VÄSTRA GÖTALANDS LÄN</t>
        </is>
      </c>
      <c r="E3080" t="inlineStr">
        <is>
          <t>TRANEMO</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32737-2021</t>
        </is>
      </c>
      <c r="B3081" s="1" t="n">
        <v>44375</v>
      </c>
      <c r="C3081" s="1" t="n">
        <v>46011</v>
      </c>
      <c r="D3081" t="inlineStr">
        <is>
          <t>VÄSTRA GÖTALANDS LÄN</t>
        </is>
      </c>
      <c r="E3081" t="inlineStr">
        <is>
          <t>KARLSBORG</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59166-2021</t>
        </is>
      </c>
      <c r="B3082" s="1" t="n">
        <v>44490</v>
      </c>
      <c r="C3082" s="1" t="n">
        <v>46011</v>
      </c>
      <c r="D3082" t="inlineStr">
        <is>
          <t>VÄSTRA GÖTALANDS LÄN</t>
        </is>
      </c>
      <c r="E3082" t="inlineStr">
        <is>
          <t>TANUM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14844-2024</t>
        </is>
      </c>
      <c r="B3083" s="1" t="n">
        <v>45398</v>
      </c>
      <c r="C3083" s="1" t="n">
        <v>46011</v>
      </c>
      <c r="D3083" t="inlineStr">
        <is>
          <t>VÄSTRA GÖTALANDS LÄN</t>
        </is>
      </c>
      <c r="E3083" t="inlineStr">
        <is>
          <t>SKARA</t>
        </is>
      </c>
      <c r="F3083" t="inlineStr">
        <is>
          <t>Kommuner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48098-2022</t>
        </is>
      </c>
      <c r="B3084" s="1" t="n">
        <v>44856.37269675926</v>
      </c>
      <c r="C3084" s="1" t="n">
        <v>46011</v>
      </c>
      <c r="D3084" t="inlineStr">
        <is>
          <t>VÄSTRA GÖTALANDS LÄN</t>
        </is>
      </c>
      <c r="E3084" t="inlineStr">
        <is>
          <t>SKARA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19922-2025</t>
        </is>
      </c>
      <c r="B3085" s="1" t="n">
        <v>45771.63034722222</v>
      </c>
      <c r="C3085" s="1" t="n">
        <v>46011</v>
      </c>
      <c r="D3085" t="inlineStr">
        <is>
          <t>VÄSTRA GÖTALANDS LÄN</t>
        </is>
      </c>
      <c r="E3085" t="inlineStr">
        <is>
          <t>GÖTEBORG</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62931-2023</t>
        </is>
      </c>
      <c r="B3086" s="1" t="n">
        <v>45272.47856481482</v>
      </c>
      <c r="C3086" s="1" t="n">
        <v>46011</v>
      </c>
      <c r="D3086" t="inlineStr">
        <is>
          <t>VÄSTRA GÖTALANDS LÄN</t>
        </is>
      </c>
      <c r="E3086" t="inlineStr">
        <is>
          <t>TANUM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33476-2022</t>
        </is>
      </c>
      <c r="B3087" s="1" t="n">
        <v>44788</v>
      </c>
      <c r="C3087" s="1" t="n">
        <v>46011</v>
      </c>
      <c r="D3087" t="inlineStr">
        <is>
          <t>VÄSTRA GÖTALANDS LÄN</t>
        </is>
      </c>
      <c r="E3087" t="inlineStr">
        <is>
          <t>VÄNERSBORG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49751-2022</t>
        </is>
      </c>
      <c r="B3088" s="1" t="n">
        <v>44862</v>
      </c>
      <c r="C3088" s="1" t="n">
        <v>46011</v>
      </c>
      <c r="D3088" t="inlineStr">
        <is>
          <t>VÄSTRA GÖTALANDS LÄN</t>
        </is>
      </c>
      <c r="E3088" t="inlineStr">
        <is>
          <t>TANUM</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15353-2024</t>
        </is>
      </c>
      <c r="B3089" s="1" t="n">
        <v>45400.83571759259</v>
      </c>
      <c r="C3089" s="1" t="n">
        <v>46011</v>
      </c>
      <c r="D3089" t="inlineStr">
        <is>
          <t>VÄSTRA GÖTALANDS LÄN</t>
        </is>
      </c>
      <c r="E3089" t="inlineStr">
        <is>
          <t>TANUM</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5825-2024</t>
        </is>
      </c>
      <c r="B3090" s="1" t="n">
        <v>45335.56065972222</v>
      </c>
      <c r="C3090" s="1" t="n">
        <v>46011</v>
      </c>
      <c r="D3090" t="inlineStr">
        <is>
          <t>VÄSTRA GÖTALANDS LÄN</t>
        </is>
      </c>
      <c r="E3090" t="inlineStr">
        <is>
          <t>SKARA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5829-2024</t>
        </is>
      </c>
      <c r="B3091" s="1" t="n">
        <v>45335.57622685185</v>
      </c>
      <c r="C3091" s="1" t="n">
        <v>46011</v>
      </c>
      <c r="D3091" t="inlineStr">
        <is>
          <t>VÄSTRA GÖTALANDS LÄN</t>
        </is>
      </c>
      <c r="E3091" t="inlineStr">
        <is>
          <t>HERRLJUNGA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15409-2024</t>
        </is>
      </c>
      <c r="B3092" s="1" t="n">
        <v>45401.34701388889</v>
      </c>
      <c r="C3092" s="1" t="n">
        <v>46011</v>
      </c>
      <c r="D3092" t="inlineStr">
        <is>
          <t>VÄSTRA GÖTALANDS LÄN</t>
        </is>
      </c>
      <c r="E3092" t="inlineStr">
        <is>
          <t>TIBRO</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10833-2024</t>
        </is>
      </c>
      <c r="B3093" s="1" t="n">
        <v>45369.72144675926</v>
      </c>
      <c r="C3093" s="1" t="n">
        <v>46011</v>
      </c>
      <c r="D3093" t="inlineStr">
        <is>
          <t>VÄSTRA GÖTALANDS LÄN</t>
        </is>
      </c>
      <c r="E3093" t="inlineStr">
        <is>
          <t>TÖREBODA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49755-2022</t>
        </is>
      </c>
      <c r="B3094" s="1" t="n">
        <v>44859</v>
      </c>
      <c r="C3094" s="1" t="n">
        <v>46011</v>
      </c>
      <c r="D3094" t="inlineStr">
        <is>
          <t>VÄSTRA GÖTALANDS LÄN</t>
        </is>
      </c>
      <c r="E3094" t="inlineStr">
        <is>
          <t>LIDKÖPING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5847-2024</t>
        </is>
      </c>
      <c r="B3095" s="1" t="n">
        <v>45335.61695601852</v>
      </c>
      <c r="C3095" s="1" t="n">
        <v>46011</v>
      </c>
      <c r="D3095" t="inlineStr">
        <is>
          <t>VÄSTRA GÖTALANDS LÄN</t>
        </is>
      </c>
      <c r="E3095" t="inlineStr">
        <is>
          <t>VARA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53081-2023</t>
        </is>
      </c>
      <c r="B3096" s="1" t="n">
        <v>45227.62710648148</v>
      </c>
      <c r="C3096" s="1" t="n">
        <v>46011</v>
      </c>
      <c r="D3096" t="inlineStr">
        <is>
          <t>VÄSTRA GÖTALANDS LÄN</t>
        </is>
      </c>
      <c r="E3096" t="inlineStr">
        <is>
          <t>TRANEMO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18296-2021</t>
        </is>
      </c>
      <c r="B3097" s="1" t="n">
        <v>44305.44487268518</v>
      </c>
      <c r="C3097" s="1" t="n">
        <v>46011</v>
      </c>
      <c r="D3097" t="inlineStr">
        <is>
          <t>VÄSTRA GÖTALANDS LÄN</t>
        </is>
      </c>
      <c r="E3097" t="inlineStr">
        <is>
          <t>UDDEVALLA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9754-2024</t>
        </is>
      </c>
      <c r="B3098" s="1" t="n">
        <v>45362.61717592592</v>
      </c>
      <c r="C3098" s="1" t="n">
        <v>46011</v>
      </c>
      <c r="D3098" t="inlineStr">
        <is>
          <t>VÄSTRA GÖTALANDS LÄN</t>
        </is>
      </c>
      <c r="E3098" t="inlineStr">
        <is>
          <t>ULRICEHAMN</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9777-2024</t>
        </is>
      </c>
      <c r="B3099" s="1" t="n">
        <v>45362.65149305556</v>
      </c>
      <c r="C3099" s="1" t="n">
        <v>46011</v>
      </c>
      <c r="D3099" t="inlineStr">
        <is>
          <t>VÄSTRA GÖTALANDS LÄN</t>
        </is>
      </c>
      <c r="E3099" t="inlineStr">
        <is>
          <t>TRANEMO</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54814-2023</t>
        </is>
      </c>
      <c r="B3100" s="1" t="n">
        <v>45236.52512731482</v>
      </c>
      <c r="C3100" s="1" t="n">
        <v>46011</v>
      </c>
      <c r="D3100" t="inlineStr">
        <is>
          <t>VÄSTRA GÖTALANDS LÄN</t>
        </is>
      </c>
      <c r="E3100" t="inlineStr">
        <is>
          <t>TANUM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43178-2022</t>
        </is>
      </c>
      <c r="B3101" s="1" t="n">
        <v>44834</v>
      </c>
      <c r="C3101" s="1" t="n">
        <v>46011</v>
      </c>
      <c r="D3101" t="inlineStr">
        <is>
          <t>VÄSTRA GÖTALANDS LÄN</t>
        </is>
      </c>
      <c r="E3101" t="inlineStr">
        <is>
          <t>MARK</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6258-2024</t>
        </is>
      </c>
      <c r="B3102" s="1" t="n">
        <v>45337.77947916667</v>
      </c>
      <c r="C3102" s="1" t="n">
        <v>46011</v>
      </c>
      <c r="D3102" t="inlineStr">
        <is>
          <t>VÄSTRA GÖTALANDS LÄN</t>
        </is>
      </c>
      <c r="E3102" t="inlineStr">
        <is>
          <t>MÖLNDAL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54817-2023</t>
        </is>
      </c>
      <c r="B3103" s="1" t="n">
        <v>45236.5352199074</v>
      </c>
      <c r="C3103" s="1" t="n">
        <v>46011</v>
      </c>
      <c r="D3103" t="inlineStr">
        <is>
          <t>VÄSTRA GÖTALANDS LÄN</t>
        </is>
      </c>
      <c r="E3103" t="inlineStr">
        <is>
          <t>TANUM</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17499-2024</t>
        </is>
      </c>
      <c r="B3104" s="1" t="n">
        <v>45415.53640046297</v>
      </c>
      <c r="C3104" s="1" t="n">
        <v>46011</v>
      </c>
      <c r="D3104" t="inlineStr">
        <is>
          <t>VÄSTRA GÖTALANDS LÄN</t>
        </is>
      </c>
      <c r="E3104" t="inlineStr">
        <is>
          <t>MARK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17501-2024</t>
        </is>
      </c>
      <c r="B3105" s="1" t="n">
        <v>45415.55299768518</v>
      </c>
      <c r="C3105" s="1" t="n">
        <v>46011</v>
      </c>
      <c r="D3105" t="inlineStr">
        <is>
          <t>VÄSTRA GÖTALANDS LÄN</t>
        </is>
      </c>
      <c r="E3105" t="inlineStr">
        <is>
          <t>TRANEMO</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34952-2024</t>
        </is>
      </c>
      <c r="B3106" s="1" t="n">
        <v>45527.48158564815</v>
      </c>
      <c r="C3106" s="1" t="n">
        <v>46011</v>
      </c>
      <c r="D3106" t="inlineStr">
        <is>
          <t>VÄSTRA GÖTALANDS LÄN</t>
        </is>
      </c>
      <c r="E3106" t="inlineStr">
        <is>
          <t>HERRLJUNGA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16017-2024</t>
        </is>
      </c>
      <c r="B3107" s="1" t="n">
        <v>45405.66837962963</v>
      </c>
      <c r="C3107" s="1" t="n">
        <v>46011</v>
      </c>
      <c r="D3107" t="inlineStr">
        <is>
          <t>VÄSTRA GÖTALANDS LÄN</t>
        </is>
      </c>
      <c r="E3107" t="inlineStr">
        <is>
          <t>BENGTSFORS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724-2024</t>
        </is>
      </c>
      <c r="B3108" s="1" t="n">
        <v>45300</v>
      </c>
      <c r="C3108" s="1" t="n">
        <v>46011</v>
      </c>
      <c r="D3108" t="inlineStr">
        <is>
          <t>VÄSTRA GÖTALANDS LÄN</t>
        </is>
      </c>
      <c r="E3108" t="inlineStr">
        <is>
          <t>HJO</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43276-2022</t>
        </is>
      </c>
      <c r="B3109" s="1" t="n">
        <v>44834</v>
      </c>
      <c r="C3109" s="1" t="n">
        <v>46011</v>
      </c>
      <c r="D3109" t="inlineStr">
        <is>
          <t>VÄSTRA GÖTALANDS LÄN</t>
        </is>
      </c>
      <c r="E3109" t="inlineStr">
        <is>
          <t>UDDEVALLA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12091-2024</t>
        </is>
      </c>
      <c r="B3110" s="1" t="n">
        <v>45377.56653935185</v>
      </c>
      <c r="C3110" s="1" t="n">
        <v>46011</v>
      </c>
      <c r="D3110" t="inlineStr">
        <is>
          <t>VÄSTRA GÖTALANDS LÄN</t>
        </is>
      </c>
      <c r="E3110" t="inlineStr">
        <is>
          <t>HÄRRYDA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49538-2023</t>
        </is>
      </c>
      <c r="B3111" s="1" t="n">
        <v>45211</v>
      </c>
      <c r="C3111" s="1" t="n">
        <v>46011</v>
      </c>
      <c r="D3111" t="inlineStr">
        <is>
          <t>VÄSTRA GÖTALANDS LÄN</t>
        </is>
      </c>
      <c r="E3111" t="inlineStr">
        <is>
          <t>SVENLJUNGA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49566-2023</t>
        </is>
      </c>
      <c r="B3112" s="1" t="n">
        <v>45211.65027777778</v>
      </c>
      <c r="C3112" s="1" t="n">
        <v>46011</v>
      </c>
      <c r="D3112" t="inlineStr">
        <is>
          <t>VÄSTRA GÖTALANDS LÄN</t>
        </is>
      </c>
      <c r="E3112" t="inlineStr">
        <is>
          <t>MARIESTAD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11917-2024</t>
        </is>
      </c>
      <c r="B3113" s="1" t="n">
        <v>45376.60135416667</v>
      </c>
      <c r="C3113" s="1" t="n">
        <v>46011</v>
      </c>
      <c r="D3113" t="inlineStr">
        <is>
          <t>VÄSTRA GÖTALANDS LÄN</t>
        </is>
      </c>
      <c r="E3113" t="inlineStr">
        <is>
          <t>SKÖVDE</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11918-2024</t>
        </is>
      </c>
      <c r="B3114" s="1" t="n">
        <v>45376.60981481482</v>
      </c>
      <c r="C3114" s="1" t="n">
        <v>46011</v>
      </c>
      <c r="D3114" t="inlineStr">
        <is>
          <t>VÄSTRA GÖTALANDS LÄN</t>
        </is>
      </c>
      <c r="E3114" t="inlineStr">
        <is>
          <t>BENGTSFORS</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11939-2024</t>
        </is>
      </c>
      <c r="B3115" s="1" t="n">
        <v>45376.67043981481</v>
      </c>
      <c r="C3115" s="1" t="n">
        <v>46011</v>
      </c>
      <c r="D3115" t="inlineStr">
        <is>
          <t>VÄSTRA GÖTALANDS LÄN</t>
        </is>
      </c>
      <c r="E3115" t="inlineStr">
        <is>
          <t>HÄRRYDA</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54947-2021</t>
        </is>
      </c>
      <c r="B3116" s="1" t="n">
        <v>44474.4662962963</v>
      </c>
      <c r="C3116" s="1" t="n">
        <v>46011</v>
      </c>
      <c r="D3116" t="inlineStr">
        <is>
          <t>VÄSTRA GÖTALANDS LÄN</t>
        </is>
      </c>
      <c r="E3116" t="inlineStr">
        <is>
          <t>MARK</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57571-2023</t>
        </is>
      </c>
      <c r="B3117" s="1" t="n">
        <v>45246.52076388889</v>
      </c>
      <c r="C3117" s="1" t="n">
        <v>46011</v>
      </c>
      <c r="D3117" t="inlineStr">
        <is>
          <t>VÄSTRA GÖTALANDS LÄN</t>
        </is>
      </c>
      <c r="E3117" t="inlineStr">
        <is>
          <t>ULRICEHAMN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12208-2021</t>
        </is>
      </c>
      <c r="B3118" s="1" t="n">
        <v>44266.65693287037</v>
      </c>
      <c r="C3118" s="1" t="n">
        <v>46011</v>
      </c>
      <c r="D3118" t="inlineStr">
        <is>
          <t>VÄSTRA GÖTALANDS LÄN</t>
        </is>
      </c>
      <c r="E3118" t="inlineStr">
        <is>
          <t>KARLSBORG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47212-2023</t>
        </is>
      </c>
      <c r="B3119" s="1" t="n">
        <v>45202</v>
      </c>
      <c r="C3119" s="1" t="n">
        <v>46011</v>
      </c>
      <c r="D3119" t="inlineStr">
        <is>
          <t>VÄSTRA GÖTALANDS LÄN</t>
        </is>
      </c>
      <c r="E3119" t="inlineStr">
        <is>
          <t>BENGTSFORS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29092-2023</t>
        </is>
      </c>
      <c r="B3120" s="1" t="n">
        <v>45105.34570601852</v>
      </c>
      <c r="C3120" s="1" t="n">
        <v>46011</v>
      </c>
      <c r="D3120" t="inlineStr">
        <is>
          <t>VÄSTRA GÖTALANDS LÄN</t>
        </is>
      </c>
      <c r="E3120" t="inlineStr">
        <is>
          <t>VÅRGÅRDA</t>
        </is>
      </c>
      <c r="F3120" t="inlineStr">
        <is>
          <t>Kommuner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39762-2024</t>
        </is>
      </c>
      <c r="B3121" s="1" t="n">
        <v>45552.70372685185</v>
      </c>
      <c r="C3121" s="1" t="n">
        <v>46011</v>
      </c>
      <c r="D3121" t="inlineStr">
        <is>
          <t>VÄSTRA GÖTALANDS LÄN</t>
        </is>
      </c>
      <c r="E3121" t="inlineStr">
        <is>
          <t>ULRICEHAMN</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39763-2024</t>
        </is>
      </c>
      <c r="B3122" s="1" t="n">
        <v>45552.70619212963</v>
      </c>
      <c r="C3122" s="1" t="n">
        <v>46011</v>
      </c>
      <c r="D3122" t="inlineStr">
        <is>
          <t>VÄSTRA GÖTALANDS LÄN</t>
        </is>
      </c>
      <c r="E3122" t="inlineStr">
        <is>
          <t>ULRICEHAMN</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27822-2023</t>
        </is>
      </c>
      <c r="B3123" s="1" t="n">
        <v>45098.50954861111</v>
      </c>
      <c r="C3123" s="1" t="n">
        <v>46011</v>
      </c>
      <c r="D3123" t="inlineStr">
        <is>
          <t>VÄSTRA GÖTALANDS LÄN</t>
        </is>
      </c>
      <c r="E3123" t="inlineStr">
        <is>
          <t>TIDAHOLM</t>
        </is>
      </c>
      <c r="F3123" t="inlineStr">
        <is>
          <t>Kyrkan</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49772-2023</t>
        </is>
      </c>
      <c r="B3124" s="1" t="n">
        <v>45212</v>
      </c>
      <c r="C3124" s="1" t="n">
        <v>46011</v>
      </c>
      <c r="D3124" t="inlineStr">
        <is>
          <t>VÄSTRA GÖTALANDS LÄN</t>
        </is>
      </c>
      <c r="E3124" t="inlineStr">
        <is>
          <t>BENGTSFORS</t>
        </is>
      </c>
      <c r="G3124" t="n">
        <v>14.5</v>
      </c>
      <c r="H3124" t="n">
        <v>0</v>
      </c>
      <c r="I3124" t="n">
        <v>0</v>
      </c>
      <c r="J3124" t="n">
        <v>0</v>
      </c>
      <c r="K3124" t="n">
        <v>0</v>
      </c>
      <c r="L3124" t="n">
        <v>0</v>
      </c>
      <c r="M3124" t="n">
        <v>0</v>
      </c>
      <c r="N3124" t="n">
        <v>0</v>
      </c>
      <c r="O3124" t="n">
        <v>0</v>
      </c>
      <c r="P3124" t="n">
        <v>0</v>
      </c>
      <c r="Q3124" t="n">
        <v>0</v>
      </c>
      <c r="R3124" s="2" t="inlineStr"/>
    </row>
    <row r="3125" ht="15" customHeight="1">
      <c r="A3125" t="inlineStr">
        <is>
          <t>A 49785-2023</t>
        </is>
      </c>
      <c r="B3125" s="1" t="n">
        <v>45212</v>
      </c>
      <c r="C3125" s="1" t="n">
        <v>46011</v>
      </c>
      <c r="D3125" t="inlineStr">
        <is>
          <t>VÄSTRA GÖTALANDS LÄN</t>
        </is>
      </c>
      <c r="E3125" t="inlineStr">
        <is>
          <t>MARK</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5771-2024</t>
        </is>
      </c>
      <c r="B3126" s="1" t="n">
        <v>45335</v>
      </c>
      <c r="C3126" s="1" t="n">
        <v>46011</v>
      </c>
      <c r="D3126" t="inlineStr">
        <is>
          <t>VÄSTRA GÖTALANDS LÄN</t>
        </is>
      </c>
      <c r="E3126" t="inlineStr">
        <is>
          <t>TIDAHOLM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5786-2024</t>
        </is>
      </c>
      <c r="B3127" s="1" t="n">
        <v>45335</v>
      </c>
      <c r="C3127" s="1" t="n">
        <v>46011</v>
      </c>
      <c r="D3127" t="inlineStr">
        <is>
          <t>VÄSTRA GÖTALANDS LÄN</t>
        </is>
      </c>
      <c r="E3127" t="inlineStr">
        <is>
          <t>MARK</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10879-2021</t>
        </is>
      </c>
      <c r="B3128" s="1" t="n">
        <v>44259</v>
      </c>
      <c r="C3128" s="1" t="n">
        <v>46011</v>
      </c>
      <c r="D3128" t="inlineStr">
        <is>
          <t>VÄSTRA GÖTALANDS LÄN</t>
        </is>
      </c>
      <c r="E3128" t="inlineStr">
        <is>
          <t>TROLLHÄTTAN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10890-2021</t>
        </is>
      </c>
      <c r="B3129" s="1" t="n">
        <v>44259</v>
      </c>
      <c r="C3129" s="1" t="n">
        <v>46011</v>
      </c>
      <c r="D3129" t="inlineStr">
        <is>
          <t>VÄSTRA GÖTALANDS LÄN</t>
        </is>
      </c>
      <c r="E3129" t="inlineStr">
        <is>
          <t>TROLLHÄTTAN</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32642-2022</t>
        </is>
      </c>
      <c r="B3130" s="1" t="n">
        <v>44783</v>
      </c>
      <c r="C3130" s="1" t="n">
        <v>46011</v>
      </c>
      <c r="D3130" t="inlineStr">
        <is>
          <t>VÄSTRA GÖTALANDS LÄN</t>
        </is>
      </c>
      <c r="E3130" t="inlineStr">
        <is>
          <t>MELLERUD</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11786-2024</t>
        </is>
      </c>
      <c r="B3131" s="1" t="n">
        <v>45374.72565972222</v>
      </c>
      <c r="C3131" s="1" t="n">
        <v>46011</v>
      </c>
      <c r="D3131" t="inlineStr">
        <is>
          <t>VÄSTRA GÖTALANDS LÄN</t>
        </is>
      </c>
      <c r="E3131" t="inlineStr">
        <is>
          <t>TANUM</t>
        </is>
      </c>
      <c r="G3131" t="n">
        <v>12.4</v>
      </c>
      <c r="H3131" t="n">
        <v>0</v>
      </c>
      <c r="I3131" t="n">
        <v>0</v>
      </c>
      <c r="J3131" t="n">
        <v>0</v>
      </c>
      <c r="K3131" t="n">
        <v>0</v>
      </c>
      <c r="L3131" t="n">
        <v>0</v>
      </c>
      <c r="M3131" t="n">
        <v>0</v>
      </c>
      <c r="N3131" t="n">
        <v>0</v>
      </c>
      <c r="O3131" t="n">
        <v>0</v>
      </c>
      <c r="P3131" t="n">
        <v>0</v>
      </c>
      <c r="Q3131" t="n">
        <v>0</v>
      </c>
      <c r="R3131" s="2" t="inlineStr"/>
    </row>
    <row r="3132" ht="15" customHeight="1">
      <c r="A3132" t="inlineStr">
        <is>
          <t>A 11793-2024</t>
        </is>
      </c>
      <c r="B3132" s="1" t="n">
        <v>45375.30324074074</v>
      </c>
      <c r="C3132" s="1" t="n">
        <v>46011</v>
      </c>
      <c r="D3132" t="inlineStr">
        <is>
          <t>VÄSTRA GÖTALANDS LÄN</t>
        </is>
      </c>
      <c r="E3132" t="inlineStr">
        <is>
          <t>VÅRGÅRDA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24936-2021</t>
        </is>
      </c>
      <c r="B3133" s="1" t="n">
        <v>44341.44221064815</v>
      </c>
      <c r="C3133" s="1" t="n">
        <v>46011</v>
      </c>
      <c r="D3133" t="inlineStr">
        <is>
          <t>VÄSTRA GÖTALANDS LÄN</t>
        </is>
      </c>
      <c r="E3133" t="inlineStr">
        <is>
          <t>FÄRGELANDA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12878-2024</t>
        </is>
      </c>
      <c r="B3134" s="1" t="n">
        <v>45385.32833333333</v>
      </c>
      <c r="C3134" s="1" t="n">
        <v>46011</v>
      </c>
      <c r="D3134" t="inlineStr">
        <is>
          <t>VÄSTRA GÖTALANDS LÄN</t>
        </is>
      </c>
      <c r="E3134" t="inlineStr">
        <is>
          <t>BENGTSFORS</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10176-2025</t>
        </is>
      </c>
      <c r="B3135" s="1" t="n">
        <v>45719.66662037037</v>
      </c>
      <c r="C3135" s="1" t="n">
        <v>46011</v>
      </c>
      <c r="D3135" t="inlineStr">
        <is>
          <t>VÄSTRA GÖTALANDS LÄN</t>
        </is>
      </c>
      <c r="E3135" t="inlineStr">
        <is>
          <t>SKARA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48596-2023</t>
        </is>
      </c>
      <c r="B3136" s="1" t="n">
        <v>45208.49730324074</v>
      </c>
      <c r="C3136" s="1" t="n">
        <v>46011</v>
      </c>
      <c r="D3136" t="inlineStr">
        <is>
          <t>VÄSTRA GÖTALANDS LÄN</t>
        </is>
      </c>
      <c r="E3136" t="inlineStr">
        <is>
          <t>GRÄSTORP</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50057-2023</t>
        </is>
      </c>
      <c r="B3137" s="1" t="n">
        <v>45215</v>
      </c>
      <c r="C3137" s="1" t="n">
        <v>46011</v>
      </c>
      <c r="D3137" t="inlineStr">
        <is>
          <t>VÄSTRA GÖTALANDS LÄN</t>
        </is>
      </c>
      <c r="E3137" t="inlineStr">
        <is>
          <t>BOLLEBYGD</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12322-2024</t>
        </is>
      </c>
      <c r="B3138" s="1" t="n">
        <v>45378.65465277778</v>
      </c>
      <c r="C3138" s="1" t="n">
        <v>46011</v>
      </c>
      <c r="D3138" t="inlineStr">
        <is>
          <t>VÄSTRA GÖTALANDS LÄN</t>
        </is>
      </c>
      <c r="E3138" t="inlineStr">
        <is>
          <t>ALINGSÅS</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59815-2023</t>
        </is>
      </c>
      <c r="B3139" s="1" t="n">
        <v>45257</v>
      </c>
      <c r="C3139" s="1" t="n">
        <v>46011</v>
      </c>
      <c r="D3139" t="inlineStr">
        <is>
          <t>VÄSTRA GÖTALANDS LÄN</t>
        </is>
      </c>
      <c r="E3139" t="inlineStr">
        <is>
          <t>DALS-ED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50524-2022</t>
        </is>
      </c>
      <c r="B3140" s="1" t="n">
        <v>44866</v>
      </c>
      <c r="C3140" s="1" t="n">
        <v>46011</v>
      </c>
      <c r="D3140" t="inlineStr">
        <is>
          <t>VÄSTRA GÖTALANDS LÄN</t>
        </is>
      </c>
      <c r="E3140" t="inlineStr">
        <is>
          <t>TRANEMO</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16198-2021</t>
        </is>
      </c>
      <c r="B3141" s="1" t="n">
        <v>44292</v>
      </c>
      <c r="C3141" s="1" t="n">
        <v>46011</v>
      </c>
      <c r="D3141" t="inlineStr">
        <is>
          <t>VÄSTRA GÖTALANDS LÄN</t>
        </is>
      </c>
      <c r="E3141" t="inlineStr">
        <is>
          <t>TANUM</t>
        </is>
      </c>
      <c r="G3141" t="n">
        <v>15.8</v>
      </c>
      <c r="H3141" t="n">
        <v>0</v>
      </c>
      <c r="I3141" t="n">
        <v>0</v>
      </c>
      <c r="J3141" t="n">
        <v>0</v>
      </c>
      <c r="K3141" t="n">
        <v>0</v>
      </c>
      <c r="L3141" t="n">
        <v>0</v>
      </c>
      <c r="M3141" t="n">
        <v>0</v>
      </c>
      <c r="N3141" t="n">
        <v>0</v>
      </c>
      <c r="O3141" t="n">
        <v>0</v>
      </c>
      <c r="P3141" t="n">
        <v>0</v>
      </c>
      <c r="Q3141" t="n">
        <v>0</v>
      </c>
      <c r="R3141" s="2" t="inlineStr"/>
    </row>
    <row r="3142" ht="15" customHeight="1">
      <c r="A3142" t="inlineStr">
        <is>
          <t>A 33546-2022</t>
        </is>
      </c>
      <c r="B3142" s="1" t="n">
        <v>44789.37229166667</v>
      </c>
      <c r="C3142" s="1" t="n">
        <v>46011</v>
      </c>
      <c r="D3142" t="inlineStr">
        <is>
          <t>VÄSTRA GÖTALANDS LÄN</t>
        </is>
      </c>
      <c r="E3142" t="inlineStr">
        <is>
          <t>TROLLHÄTTAN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50624-2022</t>
        </is>
      </c>
      <c r="B3143" s="1" t="n">
        <v>44866</v>
      </c>
      <c r="C3143" s="1" t="n">
        <v>46011</v>
      </c>
      <c r="D3143" t="inlineStr">
        <is>
          <t>VÄSTRA GÖTALANDS LÄN</t>
        </is>
      </c>
      <c r="E3143" t="inlineStr">
        <is>
          <t>TIDAHOLM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6850-2024</t>
        </is>
      </c>
      <c r="B3144" s="1" t="n">
        <v>45342</v>
      </c>
      <c r="C3144" s="1" t="n">
        <v>46011</v>
      </c>
      <c r="D3144" t="inlineStr">
        <is>
          <t>VÄSTRA GÖTALANDS LÄN</t>
        </is>
      </c>
      <c r="E3144" t="inlineStr">
        <is>
          <t>MARK</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20082-2025</t>
        </is>
      </c>
      <c r="B3145" s="1" t="n">
        <v>45772</v>
      </c>
      <c r="C3145" s="1" t="n">
        <v>46011</v>
      </c>
      <c r="D3145" t="inlineStr">
        <is>
          <t>VÄSTRA GÖTALANDS LÄN</t>
        </is>
      </c>
      <c r="E3145" t="inlineStr">
        <is>
          <t>TRANEMO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20090-2025</t>
        </is>
      </c>
      <c r="B3146" s="1" t="n">
        <v>45772.4628125</v>
      </c>
      <c r="C3146" s="1" t="n">
        <v>46011</v>
      </c>
      <c r="D3146" t="inlineStr">
        <is>
          <t>VÄSTRA GÖTALANDS LÄN</t>
        </is>
      </c>
      <c r="E3146" t="inlineStr">
        <is>
          <t>BENGTSFORS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6454-2024</t>
        </is>
      </c>
      <c r="B3147" s="1" t="n">
        <v>45338.68309027778</v>
      </c>
      <c r="C3147" s="1" t="n">
        <v>46011</v>
      </c>
      <c r="D3147" t="inlineStr">
        <is>
          <t>VÄSTRA GÖTALANDS LÄN</t>
        </is>
      </c>
      <c r="E3147" t="inlineStr">
        <is>
          <t>VARA</t>
        </is>
      </c>
      <c r="F3147" t="inlineStr">
        <is>
          <t>Kyrkan</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50829-2022</t>
        </is>
      </c>
      <c r="B3148" s="1" t="n">
        <v>44862</v>
      </c>
      <c r="C3148" s="1" t="n">
        <v>46011</v>
      </c>
      <c r="D3148" t="inlineStr">
        <is>
          <t>VÄSTRA GÖTALANDS LÄN</t>
        </is>
      </c>
      <c r="E3148" t="inlineStr">
        <is>
          <t>SKÖVDE</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47562-2023</t>
        </is>
      </c>
      <c r="B3149" s="1" t="n">
        <v>45203.39712962963</v>
      </c>
      <c r="C3149" s="1" t="n">
        <v>46011</v>
      </c>
      <c r="D3149" t="inlineStr">
        <is>
          <t>VÄSTRA GÖTALANDS LÄN</t>
        </is>
      </c>
      <c r="E3149" t="inlineStr">
        <is>
          <t>FALKÖPING</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37789-2022</t>
        </is>
      </c>
      <c r="B3150" s="1" t="n">
        <v>44810</v>
      </c>
      <c r="C3150" s="1" t="n">
        <v>46011</v>
      </c>
      <c r="D3150" t="inlineStr">
        <is>
          <t>VÄSTRA GÖTALANDS LÄN</t>
        </is>
      </c>
      <c r="E3150" t="inlineStr">
        <is>
          <t>HJO</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8555-2024</t>
        </is>
      </c>
      <c r="B3151" s="1" t="n">
        <v>45355</v>
      </c>
      <c r="C3151" s="1" t="n">
        <v>46011</v>
      </c>
      <c r="D3151" t="inlineStr">
        <is>
          <t>VÄSTRA GÖTALANDS LÄN</t>
        </is>
      </c>
      <c r="E3151" t="inlineStr">
        <is>
          <t>ALINGSÅS</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50622-2023</t>
        </is>
      </c>
      <c r="B3152" s="1" t="n">
        <v>45217</v>
      </c>
      <c r="C3152" s="1" t="n">
        <v>46011</v>
      </c>
      <c r="D3152" t="inlineStr">
        <is>
          <t>VÄSTRA GÖTALANDS LÄN</t>
        </is>
      </c>
      <c r="E3152" t="inlineStr">
        <is>
          <t>LERUM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17144-2024</t>
        </is>
      </c>
      <c r="B3153" s="1" t="n">
        <v>45412.63944444444</v>
      </c>
      <c r="C3153" s="1" t="n">
        <v>46011</v>
      </c>
      <c r="D3153" t="inlineStr">
        <is>
          <t>VÄSTRA GÖTALANDS LÄN</t>
        </is>
      </c>
      <c r="E3153" t="inlineStr">
        <is>
          <t>DALS-ED</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35360-2022</t>
        </is>
      </c>
      <c r="B3154" s="1" t="n">
        <v>44798</v>
      </c>
      <c r="C3154" s="1" t="n">
        <v>46011</v>
      </c>
      <c r="D3154" t="inlineStr">
        <is>
          <t>VÄSTRA GÖTALANDS LÄN</t>
        </is>
      </c>
      <c r="E3154" t="inlineStr">
        <is>
          <t>TÖREBODA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29658-2022</t>
        </is>
      </c>
      <c r="B3155" s="1" t="n">
        <v>44754.67859953704</v>
      </c>
      <c r="C3155" s="1" t="n">
        <v>46011</v>
      </c>
      <c r="D3155" t="inlineStr">
        <is>
          <t>VÄSTRA GÖTALANDS LÄN</t>
        </is>
      </c>
      <c r="E3155" t="inlineStr">
        <is>
          <t>BOLLEBYGD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20118-2025</t>
        </is>
      </c>
      <c r="B3156" s="1" t="n">
        <v>45772.48673611111</v>
      </c>
      <c r="C3156" s="1" t="n">
        <v>46011</v>
      </c>
      <c r="D3156" t="inlineStr">
        <is>
          <t>VÄSTRA GÖTALANDS LÄN</t>
        </is>
      </c>
      <c r="E3156" t="inlineStr">
        <is>
          <t>BENGTSFORS</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9607-2024</t>
        </is>
      </c>
      <c r="B3157" s="1" t="n">
        <v>45361</v>
      </c>
      <c r="C3157" s="1" t="n">
        <v>46011</v>
      </c>
      <c r="D3157" t="inlineStr">
        <is>
          <t>VÄSTRA GÖTALANDS LÄN</t>
        </is>
      </c>
      <c r="E3157" t="inlineStr">
        <is>
          <t>GÖTENE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34555-2022</t>
        </is>
      </c>
      <c r="B3158" s="1" t="n">
        <v>44794</v>
      </c>
      <c r="C3158" s="1" t="n">
        <v>46011</v>
      </c>
      <c r="D3158" t="inlineStr">
        <is>
          <t>VÄSTRA GÖTALANDS LÄN</t>
        </is>
      </c>
      <c r="E3158" t="inlineStr">
        <is>
          <t>UDDEVALLA</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645-2024</t>
        </is>
      </c>
      <c r="B3159" s="1" t="n">
        <v>45299.79818287037</v>
      </c>
      <c r="C3159" s="1" t="n">
        <v>46011</v>
      </c>
      <c r="D3159" t="inlineStr">
        <is>
          <t>VÄSTRA GÖTALANDS LÄN</t>
        </is>
      </c>
      <c r="E3159" t="inlineStr">
        <is>
          <t>MARIESTAD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49090-2023</t>
        </is>
      </c>
      <c r="B3160" s="1" t="n">
        <v>45204</v>
      </c>
      <c r="C3160" s="1" t="n">
        <v>46011</v>
      </c>
      <c r="D3160" t="inlineStr">
        <is>
          <t>VÄSTRA GÖTALANDS LÄN</t>
        </is>
      </c>
      <c r="E3160" t="inlineStr">
        <is>
          <t>ÅMÅL</t>
        </is>
      </c>
      <c r="F3160" t="inlineStr">
        <is>
          <t>Bergvik skog väst AB</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34840-2024</t>
        </is>
      </c>
      <c r="B3161" s="1" t="n">
        <v>45526.88622685185</v>
      </c>
      <c r="C3161" s="1" t="n">
        <v>46011</v>
      </c>
      <c r="D3161" t="inlineStr">
        <is>
          <t>VÄSTRA GÖTALANDS LÄN</t>
        </is>
      </c>
      <c r="E3161" t="inlineStr">
        <is>
          <t>TRANEMO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53606-2023</t>
        </is>
      </c>
      <c r="B3162" s="1" t="n">
        <v>45230</v>
      </c>
      <c r="C3162" s="1" t="n">
        <v>46011</v>
      </c>
      <c r="D3162" t="inlineStr">
        <is>
          <t>VÄSTRA GÖTALANDS LÄN</t>
        </is>
      </c>
      <c r="E3162" t="inlineStr">
        <is>
          <t>BENGTSFORS</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10401-2024</t>
        </is>
      </c>
      <c r="B3163" s="1" t="n">
        <v>45365.68392361111</v>
      </c>
      <c r="C3163" s="1" t="n">
        <v>46011</v>
      </c>
      <c r="D3163" t="inlineStr">
        <is>
          <t>VÄSTRA GÖTALANDS LÄN</t>
        </is>
      </c>
      <c r="E3163" t="inlineStr">
        <is>
          <t>MELLERUD</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38557-2022</t>
        </is>
      </c>
      <c r="B3164" s="1" t="n">
        <v>44813</v>
      </c>
      <c r="C3164" s="1" t="n">
        <v>46011</v>
      </c>
      <c r="D3164" t="inlineStr">
        <is>
          <t>VÄSTRA GÖTALANDS LÄN</t>
        </is>
      </c>
      <c r="E3164" t="inlineStr">
        <is>
          <t>UDDEVALLA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50456-2022</t>
        </is>
      </c>
      <c r="B3165" s="1" t="n">
        <v>44861</v>
      </c>
      <c r="C3165" s="1" t="n">
        <v>46011</v>
      </c>
      <c r="D3165" t="inlineStr">
        <is>
          <t>VÄSTRA GÖTALANDS LÄN</t>
        </is>
      </c>
      <c r="E3165" t="inlineStr">
        <is>
          <t>GULLSPÅNG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20448-2021</t>
        </is>
      </c>
      <c r="B3166" s="1" t="n">
        <v>44315</v>
      </c>
      <c r="C3166" s="1" t="n">
        <v>46011</v>
      </c>
      <c r="D3166" t="inlineStr">
        <is>
          <t>VÄSTRA GÖTALANDS LÄN</t>
        </is>
      </c>
      <c r="E3166" t="inlineStr">
        <is>
          <t>ALINGSÅS</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57963-2022</t>
        </is>
      </c>
      <c r="B3167" s="1" t="n">
        <v>44900.43481481481</v>
      </c>
      <c r="C3167" s="1" t="n">
        <v>46011</v>
      </c>
      <c r="D3167" t="inlineStr">
        <is>
          <t>VÄSTRA GÖTALANDS LÄN</t>
        </is>
      </c>
      <c r="E3167" t="inlineStr">
        <is>
          <t>HERRLJUNGA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57989-2022</t>
        </is>
      </c>
      <c r="B3168" s="1" t="n">
        <v>44892</v>
      </c>
      <c r="C3168" s="1" t="n">
        <v>46011</v>
      </c>
      <c r="D3168" t="inlineStr">
        <is>
          <t>VÄSTRA GÖTALANDS LÄN</t>
        </is>
      </c>
      <c r="E3168" t="inlineStr">
        <is>
          <t>STRÖMSTAD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5152-2024</t>
        </is>
      </c>
      <c r="B3169" s="1" t="n">
        <v>45330.49232638889</v>
      </c>
      <c r="C3169" s="1" t="n">
        <v>46011</v>
      </c>
      <c r="D3169" t="inlineStr">
        <is>
          <t>VÄSTRA GÖTALANDS LÄN</t>
        </is>
      </c>
      <c r="E3169" t="inlineStr">
        <is>
          <t>VÅRGÅRDA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50528-2022</t>
        </is>
      </c>
      <c r="B3170" s="1" t="n">
        <v>44866</v>
      </c>
      <c r="C3170" s="1" t="n">
        <v>46011</v>
      </c>
      <c r="D3170" t="inlineStr">
        <is>
          <t>VÄSTRA GÖTALANDS LÄN</t>
        </is>
      </c>
      <c r="E3170" t="inlineStr">
        <is>
          <t>TRANEMO</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54698-2022</t>
        </is>
      </c>
      <c r="B3171" s="1" t="n">
        <v>44883.50241898148</v>
      </c>
      <c r="C3171" s="1" t="n">
        <v>46011</v>
      </c>
      <c r="D3171" t="inlineStr">
        <is>
          <t>VÄSTRA GÖTALANDS LÄN</t>
        </is>
      </c>
      <c r="E3171" t="inlineStr">
        <is>
          <t>FÄRGELANDA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37898-2022</t>
        </is>
      </c>
      <c r="B3172" s="1" t="n">
        <v>44811.40451388889</v>
      </c>
      <c r="C3172" s="1" t="n">
        <v>46011</v>
      </c>
      <c r="D3172" t="inlineStr">
        <is>
          <t>VÄSTRA GÖTALANDS LÄN</t>
        </is>
      </c>
      <c r="E3172" t="inlineStr">
        <is>
          <t>FÄRGELANDA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37910-2022</t>
        </is>
      </c>
      <c r="B3173" s="1" t="n">
        <v>44811</v>
      </c>
      <c r="C3173" s="1" t="n">
        <v>46011</v>
      </c>
      <c r="D3173" t="inlineStr">
        <is>
          <t>VÄSTRA GÖTALANDS LÄN</t>
        </is>
      </c>
      <c r="E3173" t="inlineStr">
        <is>
          <t>HERRLJUNGA</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50152-2023</t>
        </is>
      </c>
      <c r="B3174" s="1" t="n">
        <v>45215</v>
      </c>
      <c r="C3174" s="1" t="n">
        <v>46011</v>
      </c>
      <c r="D3174" t="inlineStr">
        <is>
          <t>VÄSTRA GÖTALANDS LÄN</t>
        </is>
      </c>
      <c r="E3174" t="inlineStr">
        <is>
          <t>HJO</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27498-2021</t>
        </is>
      </c>
      <c r="B3175" s="1" t="n">
        <v>44351</v>
      </c>
      <c r="C3175" s="1" t="n">
        <v>46011</v>
      </c>
      <c r="D3175" t="inlineStr">
        <is>
          <t>VÄSTRA GÖTALANDS LÄN</t>
        </is>
      </c>
      <c r="E3175" t="inlineStr">
        <is>
          <t>BOLLEBYGD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15667-2024</t>
        </is>
      </c>
      <c r="B3176" s="1" t="n">
        <v>45404</v>
      </c>
      <c r="C3176" s="1" t="n">
        <v>46011</v>
      </c>
      <c r="D3176" t="inlineStr">
        <is>
          <t>VÄSTRA GÖTALANDS LÄN</t>
        </is>
      </c>
      <c r="E3176" t="inlineStr">
        <is>
          <t>STRÖMSTAD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16117-2024</t>
        </is>
      </c>
      <c r="B3177" s="1" t="n">
        <v>45406.4834837963</v>
      </c>
      <c r="C3177" s="1" t="n">
        <v>46011</v>
      </c>
      <c r="D3177" t="inlineStr">
        <is>
          <t>VÄSTRA GÖTALANDS LÄN</t>
        </is>
      </c>
      <c r="E3177" t="inlineStr">
        <is>
          <t>ALINGSÅS</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53533-2022</t>
        </is>
      </c>
      <c r="B3178" s="1" t="n">
        <v>44879</v>
      </c>
      <c r="C3178" s="1" t="n">
        <v>46011</v>
      </c>
      <c r="D3178" t="inlineStr">
        <is>
          <t>VÄSTRA GÖTALANDS LÄN</t>
        </is>
      </c>
      <c r="E3178" t="inlineStr">
        <is>
          <t>BORÅS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7429-2024</t>
        </is>
      </c>
      <c r="B3179" s="1" t="n">
        <v>45345</v>
      </c>
      <c r="C3179" s="1" t="n">
        <v>46011</v>
      </c>
      <c r="D3179" t="inlineStr">
        <is>
          <t>VÄSTRA GÖTALANDS LÄN</t>
        </is>
      </c>
      <c r="E3179" t="inlineStr">
        <is>
          <t>LERUM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50702-2022</t>
        </is>
      </c>
      <c r="B3180" s="1" t="n">
        <v>44867.32679398148</v>
      </c>
      <c r="C3180" s="1" t="n">
        <v>46011</v>
      </c>
      <c r="D3180" t="inlineStr">
        <is>
          <t>VÄSTRA GÖTALANDS LÄN</t>
        </is>
      </c>
      <c r="E3180" t="inlineStr">
        <is>
          <t>VARA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49114-2022</t>
        </is>
      </c>
      <c r="B3181" s="1" t="n">
        <v>44860</v>
      </c>
      <c r="C3181" s="1" t="n">
        <v>46011</v>
      </c>
      <c r="D3181" t="inlineStr">
        <is>
          <t>VÄSTRA GÖTALANDS LÄN</t>
        </is>
      </c>
      <c r="E3181" t="inlineStr">
        <is>
          <t>TIDAHOLM</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14183-2024</t>
        </is>
      </c>
      <c r="B3182" s="1" t="n">
        <v>45393.34479166667</v>
      </c>
      <c r="C3182" s="1" t="n">
        <v>46011</v>
      </c>
      <c r="D3182" t="inlineStr">
        <is>
          <t>VÄSTRA GÖTALANDS LÄN</t>
        </is>
      </c>
      <c r="E3182" t="inlineStr">
        <is>
          <t>HÄRRYDA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7482-2024</t>
        </is>
      </c>
      <c r="B3183" s="1" t="n">
        <v>45346.61512731481</v>
      </c>
      <c r="C3183" s="1" t="n">
        <v>46011</v>
      </c>
      <c r="D3183" t="inlineStr">
        <is>
          <t>VÄSTRA GÖTALANDS LÄN</t>
        </is>
      </c>
      <c r="E3183" t="inlineStr">
        <is>
          <t>DALS-ED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14186-2024</t>
        </is>
      </c>
      <c r="B3184" s="1" t="n">
        <v>45393.3578587963</v>
      </c>
      <c r="C3184" s="1" t="n">
        <v>46011</v>
      </c>
      <c r="D3184" t="inlineStr">
        <is>
          <t>VÄSTRA GÖTALANDS LÄN</t>
        </is>
      </c>
      <c r="E3184" t="inlineStr">
        <is>
          <t>DALS-ED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6666-2025</t>
        </is>
      </c>
      <c r="B3185" s="1" t="n">
        <v>45700.46284722222</v>
      </c>
      <c r="C3185" s="1" t="n">
        <v>46011</v>
      </c>
      <c r="D3185" t="inlineStr">
        <is>
          <t>VÄSTRA GÖTALANDS LÄN</t>
        </is>
      </c>
      <c r="E3185" t="inlineStr">
        <is>
          <t>FÄRGELANDA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57921-2022</t>
        </is>
      </c>
      <c r="B3186" s="1" t="n">
        <v>44900</v>
      </c>
      <c r="C3186" s="1" t="n">
        <v>46011</v>
      </c>
      <c r="D3186" t="inlineStr">
        <is>
          <t>VÄSTRA GÖTALANDS LÄN</t>
        </is>
      </c>
      <c r="E3186" t="inlineStr">
        <is>
          <t>VÅRGÅRDA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17139-2024</t>
        </is>
      </c>
      <c r="B3187" s="1" t="n">
        <v>45412.63122685185</v>
      </c>
      <c r="C3187" s="1" t="n">
        <v>46011</v>
      </c>
      <c r="D3187" t="inlineStr">
        <is>
          <t>VÄSTRA GÖTALANDS LÄN</t>
        </is>
      </c>
      <c r="E3187" t="inlineStr">
        <is>
          <t>MARIESTAD</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17142-2024</t>
        </is>
      </c>
      <c r="B3188" s="1" t="n">
        <v>45412.63640046296</v>
      </c>
      <c r="C3188" s="1" t="n">
        <v>46011</v>
      </c>
      <c r="D3188" t="inlineStr">
        <is>
          <t>VÄSTRA GÖTALANDS LÄN</t>
        </is>
      </c>
      <c r="E3188" t="inlineStr">
        <is>
          <t>DALS-ED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48973-2023</t>
        </is>
      </c>
      <c r="B3189" s="1" t="n">
        <v>45209</v>
      </c>
      <c r="C3189" s="1" t="n">
        <v>46011</v>
      </c>
      <c r="D3189" t="inlineStr">
        <is>
          <t>VÄSTRA GÖTALANDS LÄN</t>
        </is>
      </c>
      <c r="E3189" t="inlineStr">
        <is>
          <t>TÖREBODA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17165-2024</t>
        </is>
      </c>
      <c r="B3190" s="1" t="n">
        <v>45412.85292824074</v>
      </c>
      <c r="C3190" s="1" t="n">
        <v>46011</v>
      </c>
      <c r="D3190" t="inlineStr">
        <is>
          <t>VÄSTRA GÖTALANDS LÄN</t>
        </is>
      </c>
      <c r="E3190" t="inlineStr">
        <is>
          <t>MARIESTAD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49025-2023</t>
        </is>
      </c>
      <c r="B3191" s="1" t="n">
        <v>45209.82892361111</v>
      </c>
      <c r="C3191" s="1" t="n">
        <v>46011</v>
      </c>
      <c r="D3191" t="inlineStr">
        <is>
          <t>VÄSTRA GÖTALANDS LÄN</t>
        </is>
      </c>
      <c r="E3191" t="inlineStr">
        <is>
          <t>HJO</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35466-2024</t>
        </is>
      </c>
      <c r="B3192" s="1" t="n">
        <v>45531.46454861111</v>
      </c>
      <c r="C3192" s="1" t="n">
        <v>46011</v>
      </c>
      <c r="D3192" t="inlineStr">
        <is>
          <t>VÄSTRA GÖTALANDS LÄN</t>
        </is>
      </c>
      <c r="E3192" t="inlineStr">
        <is>
          <t>DALS-ED</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16177-2024</t>
        </is>
      </c>
      <c r="B3193" s="1" t="n">
        <v>45406.64324074074</v>
      </c>
      <c r="C3193" s="1" t="n">
        <v>46011</v>
      </c>
      <c r="D3193" t="inlineStr">
        <is>
          <t>VÄSTRA GÖTALANDS LÄN</t>
        </is>
      </c>
      <c r="E3193" t="inlineStr">
        <is>
          <t>BORÅS</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53965-2022</t>
        </is>
      </c>
      <c r="B3194" s="1" t="n">
        <v>44881.31358796296</v>
      </c>
      <c r="C3194" s="1" t="n">
        <v>46011</v>
      </c>
      <c r="D3194" t="inlineStr">
        <is>
          <t>VÄSTRA GÖTALANDS LÄN</t>
        </is>
      </c>
      <c r="E3194" t="inlineStr">
        <is>
          <t>ULRICEHAMN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23856-2023</t>
        </is>
      </c>
      <c r="B3195" s="1" t="n">
        <v>45075</v>
      </c>
      <c r="C3195" s="1" t="n">
        <v>46011</v>
      </c>
      <c r="D3195" t="inlineStr">
        <is>
          <t>VÄSTRA GÖTALANDS LÄN</t>
        </is>
      </c>
      <c r="E3195" t="inlineStr">
        <is>
          <t>ULRICEHAMN</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25999-2023</t>
        </is>
      </c>
      <c r="B3196" s="1" t="n">
        <v>45090.93861111111</v>
      </c>
      <c r="C3196" s="1" t="n">
        <v>46011</v>
      </c>
      <c r="D3196" t="inlineStr">
        <is>
          <t>VÄSTRA GÖTALANDS LÄN</t>
        </is>
      </c>
      <c r="E3196" t="inlineStr">
        <is>
          <t>KARLSBORG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15555-2024</t>
        </is>
      </c>
      <c r="B3197" s="1" t="n">
        <v>45401.63873842593</v>
      </c>
      <c r="C3197" s="1" t="n">
        <v>46011</v>
      </c>
      <c r="D3197" t="inlineStr">
        <is>
          <t>VÄSTRA GÖTALANDS LÄN</t>
        </is>
      </c>
      <c r="E3197" t="inlineStr">
        <is>
          <t>MUNKEDAL</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6469-2021</t>
        </is>
      </c>
      <c r="B3198" s="1" t="n">
        <v>44235</v>
      </c>
      <c r="C3198" s="1" t="n">
        <v>46011</v>
      </c>
      <c r="D3198" t="inlineStr">
        <is>
          <t>VÄSTRA GÖTALANDS LÄN</t>
        </is>
      </c>
      <c r="E3198" t="inlineStr">
        <is>
          <t>VÄNERSBORG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20167-2025</t>
        </is>
      </c>
      <c r="B3199" s="1" t="n">
        <v>45772.57635416667</v>
      </c>
      <c r="C3199" s="1" t="n">
        <v>46011</v>
      </c>
      <c r="D3199" t="inlineStr">
        <is>
          <t>VÄSTRA GÖTALANDS LÄN</t>
        </is>
      </c>
      <c r="E3199" t="inlineStr">
        <is>
          <t>BENGTSFORS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32518-2022</t>
        </is>
      </c>
      <c r="B3200" s="1" t="n">
        <v>44782.91590277778</v>
      </c>
      <c r="C3200" s="1" t="n">
        <v>46011</v>
      </c>
      <c r="D3200" t="inlineStr">
        <is>
          <t>VÄSTRA GÖTALANDS LÄN</t>
        </is>
      </c>
      <c r="E3200" t="inlineStr">
        <is>
          <t>HJO</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16770-2024</t>
        </is>
      </c>
      <c r="B3201" s="1" t="n">
        <v>45411.38792824074</v>
      </c>
      <c r="C3201" s="1" t="n">
        <v>46011</v>
      </c>
      <c r="D3201" t="inlineStr">
        <is>
          <t>VÄSTRA GÖTALANDS LÄN</t>
        </is>
      </c>
      <c r="E3201" t="inlineStr">
        <is>
          <t>SVENLJUNGA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15552-2024</t>
        </is>
      </c>
      <c r="B3202" s="1" t="n">
        <v>45401.63732638889</v>
      </c>
      <c r="C3202" s="1" t="n">
        <v>46011</v>
      </c>
      <c r="D3202" t="inlineStr">
        <is>
          <t>VÄSTRA GÖTALANDS LÄN</t>
        </is>
      </c>
      <c r="E3202" t="inlineStr">
        <is>
          <t>ESSUNGA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13645-2024</t>
        </is>
      </c>
      <c r="B3203" s="1" t="n">
        <v>45390.46651620371</v>
      </c>
      <c r="C3203" s="1" t="n">
        <v>46011</v>
      </c>
      <c r="D3203" t="inlineStr">
        <is>
          <t>VÄSTRA GÖTALANDS LÄN</t>
        </is>
      </c>
      <c r="E3203" t="inlineStr">
        <is>
          <t>TANUM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16172-2024</t>
        </is>
      </c>
      <c r="B3204" s="1" t="n">
        <v>45406.62850694444</v>
      </c>
      <c r="C3204" s="1" t="n">
        <v>46011</v>
      </c>
      <c r="D3204" t="inlineStr">
        <is>
          <t>VÄSTRA GÖTALANDS LÄN</t>
        </is>
      </c>
      <c r="E3204" t="inlineStr">
        <is>
          <t>GRÄSTORP</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16173-2024</t>
        </is>
      </c>
      <c r="B3205" s="1" t="n">
        <v>45406.63146990741</v>
      </c>
      <c r="C3205" s="1" t="n">
        <v>46011</v>
      </c>
      <c r="D3205" t="inlineStr">
        <is>
          <t>VÄSTRA GÖTALANDS LÄN</t>
        </is>
      </c>
      <c r="E3205" t="inlineStr">
        <is>
          <t>GRÄSTORP</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16278-2024</t>
        </is>
      </c>
      <c r="B3206" s="1" t="n">
        <v>45407.35623842593</v>
      </c>
      <c r="C3206" s="1" t="n">
        <v>46011</v>
      </c>
      <c r="D3206" t="inlineStr">
        <is>
          <t>VÄSTRA GÖTALANDS LÄN</t>
        </is>
      </c>
      <c r="E3206" t="inlineStr">
        <is>
          <t>ULRICEHAMN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48035-2023</t>
        </is>
      </c>
      <c r="B3207" s="1" t="n">
        <v>45204</v>
      </c>
      <c r="C3207" s="1" t="n">
        <v>46011</v>
      </c>
      <c r="D3207" t="inlineStr">
        <is>
          <t>VÄSTRA GÖTALANDS LÄN</t>
        </is>
      </c>
      <c r="E3207" t="inlineStr">
        <is>
          <t>TIDAHOLM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14609-2024</t>
        </is>
      </c>
      <c r="B3208" s="1" t="n">
        <v>45396.86570601852</v>
      </c>
      <c r="C3208" s="1" t="n">
        <v>46011</v>
      </c>
      <c r="D3208" t="inlineStr">
        <is>
          <t>VÄSTRA GÖTALANDS LÄN</t>
        </is>
      </c>
      <c r="E3208" t="inlineStr">
        <is>
          <t>ORUST</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6809-2024</t>
        </is>
      </c>
      <c r="B3209" s="1" t="n">
        <v>45342</v>
      </c>
      <c r="C3209" s="1" t="n">
        <v>46011</v>
      </c>
      <c r="D3209" t="inlineStr">
        <is>
          <t>VÄSTRA GÖTALANDS LÄN</t>
        </is>
      </c>
      <c r="E3209" t="inlineStr">
        <is>
          <t>MUNKEDAL</t>
        </is>
      </c>
      <c r="F3209" t="inlineStr">
        <is>
          <t>Kyrkan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41607-2022</t>
        </is>
      </c>
      <c r="B3210" s="1" t="n">
        <v>44827.46658564815</v>
      </c>
      <c r="C3210" s="1" t="n">
        <v>46011</v>
      </c>
      <c r="D3210" t="inlineStr">
        <is>
          <t>VÄSTRA GÖTALANDS LÄN</t>
        </is>
      </c>
      <c r="E3210" t="inlineStr">
        <is>
          <t>ALE</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6940-2024</t>
        </is>
      </c>
      <c r="B3211" s="1" t="n">
        <v>45343</v>
      </c>
      <c r="C3211" s="1" t="n">
        <v>46011</v>
      </c>
      <c r="D3211" t="inlineStr">
        <is>
          <t>VÄSTRA GÖTALANDS LÄN</t>
        </is>
      </c>
      <c r="E3211" t="inlineStr">
        <is>
          <t>LIDKÖPING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6945-2024</t>
        </is>
      </c>
      <c r="B3212" s="1" t="n">
        <v>45343</v>
      </c>
      <c r="C3212" s="1" t="n">
        <v>46011</v>
      </c>
      <c r="D3212" t="inlineStr">
        <is>
          <t>VÄSTRA GÖTALANDS LÄN</t>
        </is>
      </c>
      <c r="E3212" t="inlineStr">
        <is>
          <t>FALKÖPING</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13659-2025</t>
        </is>
      </c>
      <c r="B3213" s="1" t="n">
        <v>45736</v>
      </c>
      <c r="C3213" s="1" t="n">
        <v>46011</v>
      </c>
      <c r="D3213" t="inlineStr">
        <is>
          <t>VÄSTRA GÖTALANDS LÄN</t>
        </is>
      </c>
      <c r="E3213" t="inlineStr">
        <is>
          <t>MUNKEDAL</t>
        </is>
      </c>
      <c r="F3213" t="inlineStr">
        <is>
          <t>Övriga Aktiebolag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13673-2025</t>
        </is>
      </c>
      <c r="B3214" s="1" t="n">
        <v>45736.8941087963</v>
      </c>
      <c r="C3214" s="1" t="n">
        <v>46011</v>
      </c>
      <c r="D3214" t="inlineStr">
        <is>
          <t>VÄSTRA GÖTALANDS LÄN</t>
        </is>
      </c>
      <c r="E3214" t="inlineStr">
        <is>
          <t>FÄRGELANDA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13699-2025</t>
        </is>
      </c>
      <c r="B3215" s="1" t="n">
        <v>45737.32966435186</v>
      </c>
      <c r="C3215" s="1" t="n">
        <v>46011</v>
      </c>
      <c r="D3215" t="inlineStr">
        <is>
          <t>VÄSTRA GÖTALANDS LÄN</t>
        </is>
      </c>
      <c r="E3215" t="inlineStr">
        <is>
          <t>ALINGSÅS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12234-2024</t>
        </is>
      </c>
      <c r="B3216" s="1" t="n">
        <v>45378.36106481482</v>
      </c>
      <c r="C3216" s="1" t="n">
        <v>46011</v>
      </c>
      <c r="D3216" t="inlineStr">
        <is>
          <t>VÄSTRA GÖTALANDS LÄN</t>
        </is>
      </c>
      <c r="E3216" t="inlineStr">
        <is>
          <t>LILLA EDET</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29995-2021</t>
        </is>
      </c>
      <c r="B3217" s="1" t="n">
        <v>44363</v>
      </c>
      <c r="C3217" s="1" t="n">
        <v>46011</v>
      </c>
      <c r="D3217" t="inlineStr">
        <is>
          <t>VÄSTRA GÖTALANDS LÄN</t>
        </is>
      </c>
      <c r="E3217" t="inlineStr">
        <is>
          <t>BENGTSFORS</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30038-2021</t>
        </is>
      </c>
      <c r="B3218" s="1" t="n">
        <v>44363.45402777778</v>
      </c>
      <c r="C3218" s="1" t="n">
        <v>46011</v>
      </c>
      <c r="D3218" t="inlineStr">
        <is>
          <t>VÄSTRA GÖTALANDS LÄN</t>
        </is>
      </c>
      <c r="E3218" t="inlineStr">
        <is>
          <t>VÅRGÅRDA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24100-2022</t>
        </is>
      </c>
      <c r="B3219" s="1" t="n">
        <v>44725</v>
      </c>
      <c r="C3219" s="1" t="n">
        <v>46011</v>
      </c>
      <c r="D3219" t="inlineStr">
        <is>
          <t>VÄSTRA GÖTALANDS LÄN</t>
        </is>
      </c>
      <c r="E3219" t="inlineStr">
        <is>
          <t>TANUM</t>
        </is>
      </c>
      <c r="G3219" t="n">
        <v>10.7</v>
      </c>
      <c r="H3219" t="n">
        <v>0</v>
      </c>
      <c r="I3219" t="n">
        <v>0</v>
      </c>
      <c r="J3219" t="n">
        <v>0</v>
      </c>
      <c r="K3219" t="n">
        <v>0</v>
      </c>
      <c r="L3219" t="n">
        <v>0</v>
      </c>
      <c r="M3219" t="n">
        <v>0</v>
      </c>
      <c r="N3219" t="n">
        <v>0</v>
      </c>
      <c r="O3219" t="n">
        <v>0</v>
      </c>
      <c r="P3219" t="n">
        <v>0</v>
      </c>
      <c r="Q3219" t="n">
        <v>0</v>
      </c>
      <c r="R3219" s="2" t="inlineStr"/>
    </row>
    <row r="3220" ht="15" customHeight="1">
      <c r="A3220" t="inlineStr">
        <is>
          <t>A 10321-2021</t>
        </is>
      </c>
      <c r="B3220" s="1" t="n">
        <v>44257</v>
      </c>
      <c r="C3220" s="1" t="n">
        <v>46011</v>
      </c>
      <c r="D3220" t="inlineStr">
        <is>
          <t>VÄSTRA GÖTALANDS LÄN</t>
        </is>
      </c>
      <c r="E3220" t="inlineStr">
        <is>
          <t>DALS-ED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59614-2023</t>
        </is>
      </c>
      <c r="B3221" s="1" t="n">
        <v>45254.64460648148</v>
      </c>
      <c r="C3221" s="1" t="n">
        <v>46011</v>
      </c>
      <c r="D3221" t="inlineStr">
        <is>
          <t>VÄSTRA GÖTALANDS LÄN</t>
        </is>
      </c>
      <c r="E3221" t="inlineStr">
        <is>
          <t>MARK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9374-2024</t>
        </is>
      </c>
      <c r="B3222" s="1" t="n">
        <v>45359</v>
      </c>
      <c r="C3222" s="1" t="n">
        <v>46011</v>
      </c>
      <c r="D3222" t="inlineStr">
        <is>
          <t>VÄSTRA GÖTALANDS LÄN</t>
        </is>
      </c>
      <c r="E3222" t="inlineStr">
        <is>
          <t>TIDAHOLM</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9382-2024</t>
        </is>
      </c>
      <c r="B3223" s="1" t="n">
        <v>45359.37732638889</v>
      </c>
      <c r="C3223" s="1" t="n">
        <v>46011</v>
      </c>
      <c r="D3223" t="inlineStr">
        <is>
          <t>VÄSTRA GÖTALANDS LÄN</t>
        </is>
      </c>
      <c r="E3223" t="inlineStr">
        <is>
          <t>DALS-ED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55712-2022</t>
        </is>
      </c>
      <c r="B3224" s="1" t="n">
        <v>44885</v>
      </c>
      <c r="C3224" s="1" t="n">
        <v>46011</v>
      </c>
      <c r="D3224" t="inlineStr">
        <is>
          <t>VÄSTRA GÖTALANDS LÄN</t>
        </is>
      </c>
      <c r="E3224" t="inlineStr">
        <is>
          <t>STRÖMSTAD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9411-2024</t>
        </is>
      </c>
      <c r="B3225" s="1" t="n">
        <v>45359.44168981481</v>
      </c>
      <c r="C3225" s="1" t="n">
        <v>46011</v>
      </c>
      <c r="D3225" t="inlineStr">
        <is>
          <t>VÄSTRA GÖTALANDS LÄN</t>
        </is>
      </c>
      <c r="E3225" t="inlineStr">
        <is>
          <t>VARA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26016-2023</t>
        </is>
      </c>
      <c r="B3226" s="1" t="n">
        <v>45090.9447337963</v>
      </c>
      <c r="C3226" s="1" t="n">
        <v>46011</v>
      </c>
      <c r="D3226" t="inlineStr">
        <is>
          <t>VÄSTRA GÖTALANDS LÄN</t>
        </is>
      </c>
      <c r="E3226" t="inlineStr">
        <is>
          <t>KARLSBORG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26050-2023</t>
        </is>
      </c>
      <c r="B3227" s="1" t="n">
        <v>45091</v>
      </c>
      <c r="C3227" s="1" t="n">
        <v>46011</v>
      </c>
      <c r="D3227" t="inlineStr">
        <is>
          <t>VÄSTRA GÖTALANDS LÄN</t>
        </is>
      </c>
      <c r="E3227" t="inlineStr">
        <is>
          <t>MARK</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56711-2022</t>
        </is>
      </c>
      <c r="B3228" s="1" t="n">
        <v>44893.84237268518</v>
      </c>
      <c r="C3228" s="1" t="n">
        <v>46011</v>
      </c>
      <c r="D3228" t="inlineStr">
        <is>
          <t>VÄSTRA GÖTALANDS LÄN</t>
        </is>
      </c>
      <c r="E3228" t="inlineStr">
        <is>
          <t>GULLSPÅNG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27552-2023</t>
        </is>
      </c>
      <c r="B3229" s="1" t="n">
        <v>45097</v>
      </c>
      <c r="C3229" s="1" t="n">
        <v>46011</v>
      </c>
      <c r="D3229" t="inlineStr">
        <is>
          <t>VÄSTRA GÖTALANDS LÄN</t>
        </is>
      </c>
      <c r="E3229" t="inlineStr">
        <is>
          <t>BENGTSFORS</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33685-2021</t>
        </is>
      </c>
      <c r="B3230" s="1" t="n">
        <v>44378</v>
      </c>
      <c r="C3230" s="1" t="n">
        <v>46011</v>
      </c>
      <c r="D3230" t="inlineStr">
        <is>
          <t>VÄSTRA GÖTALANDS LÄN</t>
        </is>
      </c>
      <c r="E3230" t="inlineStr">
        <is>
          <t>MARK</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24996-2023</t>
        </is>
      </c>
      <c r="B3231" s="1" t="n">
        <v>45085</v>
      </c>
      <c r="C3231" s="1" t="n">
        <v>46011</v>
      </c>
      <c r="D3231" t="inlineStr">
        <is>
          <t>VÄSTRA GÖTALANDS LÄN</t>
        </is>
      </c>
      <c r="E3231" t="inlineStr">
        <is>
          <t>ULRICEHAMN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25000-2023</t>
        </is>
      </c>
      <c r="B3232" s="1" t="n">
        <v>45085.65362268518</v>
      </c>
      <c r="C3232" s="1" t="n">
        <v>46011</v>
      </c>
      <c r="D3232" t="inlineStr">
        <is>
          <t>VÄSTRA GÖTALANDS LÄN</t>
        </is>
      </c>
      <c r="E3232" t="inlineStr">
        <is>
          <t>ULRICEHAMN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52272-2023</t>
        </is>
      </c>
      <c r="B3233" s="1" t="n">
        <v>45224</v>
      </c>
      <c r="C3233" s="1" t="n">
        <v>46011</v>
      </c>
      <c r="D3233" t="inlineStr">
        <is>
          <t>VÄSTRA GÖTALANDS LÄN</t>
        </is>
      </c>
      <c r="E3233" t="inlineStr">
        <is>
          <t>TRANEMO</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52277-2023</t>
        </is>
      </c>
      <c r="B3234" s="1" t="n">
        <v>45217</v>
      </c>
      <c r="C3234" s="1" t="n">
        <v>46011</v>
      </c>
      <c r="D3234" t="inlineStr">
        <is>
          <t>VÄSTRA GÖTALANDS LÄN</t>
        </is>
      </c>
      <c r="E3234" t="inlineStr">
        <is>
          <t>DALS-ED</t>
        </is>
      </c>
      <c r="F3234" t="inlineStr">
        <is>
          <t>Kyrkan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16279-2021</t>
        </is>
      </c>
      <c r="B3235" s="1" t="n">
        <v>44292.64375</v>
      </c>
      <c r="C3235" s="1" t="n">
        <v>46011</v>
      </c>
      <c r="D3235" t="inlineStr">
        <is>
          <t>VÄSTRA GÖTALANDS LÄN</t>
        </is>
      </c>
      <c r="E3235" t="inlineStr">
        <is>
          <t>SKÖVDE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6243-2025</t>
        </is>
      </c>
      <c r="B3236" s="1" t="n">
        <v>45698</v>
      </c>
      <c r="C3236" s="1" t="n">
        <v>46011</v>
      </c>
      <c r="D3236" t="inlineStr">
        <is>
          <t>VÄSTRA GÖTALANDS LÄN</t>
        </is>
      </c>
      <c r="E3236" t="inlineStr">
        <is>
          <t>TANUM</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17806-2021</t>
        </is>
      </c>
      <c r="B3237" s="1" t="n">
        <v>44300.64185185185</v>
      </c>
      <c r="C3237" s="1" t="n">
        <v>46011</v>
      </c>
      <c r="D3237" t="inlineStr">
        <is>
          <t>VÄSTRA GÖTALANDS LÄN</t>
        </is>
      </c>
      <c r="E3237" t="inlineStr">
        <is>
          <t>HJO</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25015-2023</t>
        </is>
      </c>
      <c r="B3238" s="1" t="n">
        <v>45085.6989699074</v>
      </c>
      <c r="C3238" s="1" t="n">
        <v>46011</v>
      </c>
      <c r="D3238" t="inlineStr">
        <is>
          <t>VÄSTRA GÖTALANDS LÄN</t>
        </is>
      </c>
      <c r="E3238" t="inlineStr">
        <is>
          <t>GÖTEBORG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6244-2025</t>
        </is>
      </c>
      <c r="B3239" s="1" t="n">
        <v>45698.56950231481</v>
      </c>
      <c r="C3239" s="1" t="n">
        <v>46011</v>
      </c>
      <c r="D3239" t="inlineStr">
        <is>
          <t>VÄSTRA GÖTALANDS LÄN</t>
        </is>
      </c>
      <c r="E3239" t="inlineStr">
        <is>
          <t>ULRICEHAMN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6248-2025</t>
        </is>
      </c>
      <c r="B3240" s="1" t="n">
        <v>45698.57355324074</v>
      </c>
      <c r="C3240" s="1" t="n">
        <v>46011</v>
      </c>
      <c r="D3240" t="inlineStr">
        <is>
          <t>VÄSTRA GÖTALANDS LÄN</t>
        </is>
      </c>
      <c r="E3240" t="inlineStr">
        <is>
          <t>FALKÖPING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7583-2025</t>
        </is>
      </c>
      <c r="B3241" s="1" t="n">
        <v>45705.62212962963</v>
      </c>
      <c r="C3241" s="1" t="n">
        <v>46011</v>
      </c>
      <c r="D3241" t="inlineStr">
        <is>
          <t>VÄSTRA GÖTALANDS LÄN</t>
        </is>
      </c>
      <c r="E3241" t="inlineStr">
        <is>
          <t>UDDEVALLA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10472-2024</t>
        </is>
      </c>
      <c r="B3242" s="1" t="n">
        <v>45366.39716435185</v>
      </c>
      <c r="C3242" s="1" t="n">
        <v>46011</v>
      </c>
      <c r="D3242" t="inlineStr">
        <is>
          <t>VÄSTRA GÖTALANDS LÄN</t>
        </is>
      </c>
      <c r="E3242" t="inlineStr">
        <is>
          <t>STENUNGSUND</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26157-2023</t>
        </is>
      </c>
      <c r="B3243" s="1" t="n">
        <v>45091.50479166667</v>
      </c>
      <c r="C3243" s="1" t="n">
        <v>46011</v>
      </c>
      <c r="D3243" t="inlineStr">
        <is>
          <t>VÄSTRA GÖTALANDS LÄN</t>
        </is>
      </c>
      <c r="E3243" t="inlineStr">
        <is>
          <t>ALE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7592-2025</t>
        </is>
      </c>
      <c r="B3244" s="1" t="n">
        <v>45705.64513888889</v>
      </c>
      <c r="C3244" s="1" t="n">
        <v>46011</v>
      </c>
      <c r="D3244" t="inlineStr">
        <is>
          <t>VÄSTRA GÖTALANDS LÄN</t>
        </is>
      </c>
      <c r="E3244" t="inlineStr">
        <is>
          <t>FALKÖPING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39948-2024</t>
        </is>
      </c>
      <c r="B3245" s="1" t="n">
        <v>45553</v>
      </c>
      <c r="C3245" s="1" t="n">
        <v>46011</v>
      </c>
      <c r="D3245" t="inlineStr">
        <is>
          <t>VÄSTRA GÖTALANDS LÄN</t>
        </is>
      </c>
      <c r="E3245" t="inlineStr">
        <is>
          <t>BENGTSFORS</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18470-2024</t>
        </is>
      </c>
      <c r="B3246" s="1" t="n">
        <v>45425.50166666666</v>
      </c>
      <c r="C3246" s="1" t="n">
        <v>46011</v>
      </c>
      <c r="D3246" t="inlineStr">
        <is>
          <t>VÄSTRA GÖTALANDS LÄN</t>
        </is>
      </c>
      <c r="E3246" t="inlineStr">
        <is>
          <t>TRANEMO</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46538-2022</t>
        </is>
      </c>
      <c r="B3247" s="1" t="n">
        <v>44848.61694444445</v>
      </c>
      <c r="C3247" s="1" t="n">
        <v>46011</v>
      </c>
      <c r="D3247" t="inlineStr">
        <is>
          <t>VÄSTRA GÖTALANDS LÄN</t>
        </is>
      </c>
      <c r="E3247" t="inlineStr">
        <is>
          <t>TRANEMO</t>
        </is>
      </c>
      <c r="F3247" t="inlineStr">
        <is>
          <t>Kyrkan</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55831-2023</t>
        </is>
      </c>
      <c r="B3248" s="1" t="n">
        <v>45239</v>
      </c>
      <c r="C3248" s="1" t="n">
        <v>46011</v>
      </c>
      <c r="D3248" t="inlineStr">
        <is>
          <t>VÄSTRA GÖTALANDS LÄN</t>
        </is>
      </c>
      <c r="E3248" t="inlineStr">
        <is>
          <t>TANUM</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34075-2023</t>
        </is>
      </c>
      <c r="B3249" s="1" t="n">
        <v>45135.49209490741</v>
      </c>
      <c r="C3249" s="1" t="n">
        <v>46011</v>
      </c>
      <c r="D3249" t="inlineStr">
        <is>
          <t>VÄSTRA GÖTALANDS LÄN</t>
        </is>
      </c>
      <c r="E3249" t="inlineStr">
        <is>
          <t>MARK</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31212-2022</t>
        </is>
      </c>
      <c r="B3250" s="1" t="n">
        <v>44771.35465277778</v>
      </c>
      <c r="C3250" s="1" t="n">
        <v>46011</v>
      </c>
      <c r="D3250" t="inlineStr">
        <is>
          <t>VÄSTRA GÖTALANDS LÄN</t>
        </is>
      </c>
      <c r="E3250" t="inlineStr">
        <is>
          <t>ULRICEHAMN</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18663-2025</t>
        </is>
      </c>
      <c r="B3251" s="1" t="n">
        <v>45763.58878472223</v>
      </c>
      <c r="C3251" s="1" t="n">
        <v>46011</v>
      </c>
      <c r="D3251" t="inlineStr">
        <is>
          <t>VÄSTRA GÖTALANDS LÄN</t>
        </is>
      </c>
      <c r="E3251" t="inlineStr">
        <is>
          <t>SVENLJUNGA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18513-2024</t>
        </is>
      </c>
      <c r="B3252" s="1" t="n">
        <v>45425.60424768519</v>
      </c>
      <c r="C3252" s="1" t="n">
        <v>46011</v>
      </c>
      <c r="D3252" t="inlineStr">
        <is>
          <t>VÄSTRA GÖTALANDS LÄN</t>
        </is>
      </c>
      <c r="E3252" t="inlineStr">
        <is>
          <t>UDDEVALLA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43732-2021</t>
        </is>
      </c>
      <c r="B3253" s="1" t="n">
        <v>44433.63525462963</v>
      </c>
      <c r="C3253" s="1" t="n">
        <v>46011</v>
      </c>
      <c r="D3253" t="inlineStr">
        <is>
          <t>VÄSTRA GÖTALANDS LÄN</t>
        </is>
      </c>
      <c r="E3253" t="inlineStr">
        <is>
          <t>FALKÖPING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34161-2023</t>
        </is>
      </c>
      <c r="B3254" s="1" t="n">
        <v>45137</v>
      </c>
      <c r="C3254" s="1" t="n">
        <v>46011</v>
      </c>
      <c r="D3254" t="inlineStr">
        <is>
          <t>VÄSTRA GÖTALANDS LÄN</t>
        </is>
      </c>
      <c r="E3254" t="inlineStr">
        <is>
          <t>MARK</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34211-2023</t>
        </is>
      </c>
      <c r="B3255" s="1" t="n">
        <v>45138</v>
      </c>
      <c r="C3255" s="1" t="n">
        <v>46011</v>
      </c>
      <c r="D3255" t="inlineStr">
        <is>
          <t>VÄSTRA GÖTALANDS LÄN</t>
        </is>
      </c>
      <c r="E3255" t="inlineStr">
        <is>
          <t>SKÖVDE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50709-2021</t>
        </is>
      </c>
      <c r="B3256" s="1" t="n">
        <v>44460.36636574074</v>
      </c>
      <c r="C3256" s="1" t="n">
        <v>46011</v>
      </c>
      <c r="D3256" t="inlineStr">
        <is>
          <t>VÄSTRA GÖTALANDS LÄN</t>
        </is>
      </c>
      <c r="E3256" t="inlineStr">
        <is>
          <t>VARA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51127-2023</t>
        </is>
      </c>
      <c r="B3257" s="1" t="n">
        <v>45219</v>
      </c>
      <c r="C3257" s="1" t="n">
        <v>46011</v>
      </c>
      <c r="D3257" t="inlineStr">
        <is>
          <t>VÄSTRA GÖTALANDS LÄN</t>
        </is>
      </c>
      <c r="E3257" t="inlineStr">
        <is>
          <t>HÄRRYDA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45239-2022</t>
        </is>
      </c>
      <c r="B3258" s="1" t="n">
        <v>44844</v>
      </c>
      <c r="C3258" s="1" t="n">
        <v>46011</v>
      </c>
      <c r="D3258" t="inlineStr">
        <is>
          <t>VÄSTRA GÖTALANDS LÄN</t>
        </is>
      </c>
      <c r="E3258" t="inlineStr">
        <is>
          <t>GÖTENE</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11256-2024</t>
        </is>
      </c>
      <c r="B3259" s="1" t="n">
        <v>45371.66233796296</v>
      </c>
      <c r="C3259" s="1" t="n">
        <v>46011</v>
      </c>
      <c r="D3259" t="inlineStr">
        <is>
          <t>VÄSTRA GÖTALANDS LÄN</t>
        </is>
      </c>
      <c r="E3259" t="inlineStr">
        <is>
          <t>MÖLNDAL</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31880-2023</t>
        </is>
      </c>
      <c r="B3260" s="1" t="n">
        <v>45106</v>
      </c>
      <c r="C3260" s="1" t="n">
        <v>46011</v>
      </c>
      <c r="D3260" t="inlineStr">
        <is>
          <t>VÄSTRA GÖTALANDS LÄN</t>
        </is>
      </c>
      <c r="E3260" t="inlineStr">
        <is>
          <t>MARK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51130-2023</t>
        </is>
      </c>
      <c r="B3261" s="1" t="n">
        <v>45219</v>
      </c>
      <c r="C3261" s="1" t="n">
        <v>46011</v>
      </c>
      <c r="D3261" t="inlineStr">
        <is>
          <t>VÄSTRA GÖTALANDS LÄN</t>
        </is>
      </c>
      <c r="E3261" t="inlineStr">
        <is>
          <t>HÄRRYDA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21503-2024</t>
        </is>
      </c>
      <c r="B3262" s="1" t="n">
        <v>45441</v>
      </c>
      <c r="C3262" s="1" t="n">
        <v>46011</v>
      </c>
      <c r="D3262" t="inlineStr">
        <is>
          <t>VÄSTRA GÖTALANDS LÄN</t>
        </is>
      </c>
      <c r="E3262" t="inlineStr">
        <is>
          <t>MARIESTAD</t>
        </is>
      </c>
      <c r="F3262" t="inlineStr">
        <is>
          <t>Kommuner</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37658-2022</t>
        </is>
      </c>
      <c r="B3263" s="1" t="n">
        <v>44810.44122685185</v>
      </c>
      <c r="C3263" s="1" t="n">
        <v>46011</v>
      </c>
      <c r="D3263" t="inlineStr">
        <is>
          <t>VÄSTRA GÖTALANDS LÄN</t>
        </is>
      </c>
      <c r="E3263" t="inlineStr">
        <is>
          <t>TROLLHÄTTAN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11123-2024</t>
        </is>
      </c>
      <c r="B3264" s="1" t="n">
        <v>45371.41443287037</v>
      </c>
      <c r="C3264" s="1" t="n">
        <v>46011</v>
      </c>
      <c r="D3264" t="inlineStr">
        <is>
          <t>VÄSTRA GÖTALANDS LÄN</t>
        </is>
      </c>
      <c r="E3264" t="inlineStr">
        <is>
          <t>TROLLHÄTTAN</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17926-2024</t>
        </is>
      </c>
      <c r="B3265" s="1" t="n">
        <v>45419.59693287037</v>
      </c>
      <c r="C3265" s="1" t="n">
        <v>46011</v>
      </c>
      <c r="D3265" t="inlineStr">
        <is>
          <t>VÄSTRA GÖTALANDS LÄN</t>
        </is>
      </c>
      <c r="E3265" t="inlineStr">
        <is>
          <t>MARK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51178-2023</t>
        </is>
      </c>
      <c r="B3266" s="1" t="n">
        <v>45219.39265046296</v>
      </c>
      <c r="C3266" s="1" t="n">
        <v>46011</v>
      </c>
      <c r="D3266" t="inlineStr">
        <is>
          <t>VÄSTRA GÖTALANDS LÄN</t>
        </is>
      </c>
      <c r="E3266" t="inlineStr">
        <is>
          <t>ALINGSÅS</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53429-2022</t>
        </is>
      </c>
      <c r="B3267" s="1" t="n">
        <v>44879</v>
      </c>
      <c r="C3267" s="1" t="n">
        <v>46011</v>
      </c>
      <c r="D3267" t="inlineStr">
        <is>
          <t>VÄSTRA GÖTALANDS LÄN</t>
        </is>
      </c>
      <c r="E3267" t="inlineStr">
        <is>
          <t>TROLLHÄTTAN</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8959-2024</t>
        </is>
      </c>
      <c r="B3268" s="1" t="n">
        <v>45357</v>
      </c>
      <c r="C3268" s="1" t="n">
        <v>46011</v>
      </c>
      <c r="D3268" t="inlineStr">
        <is>
          <t>VÄSTRA GÖTALANDS LÄN</t>
        </is>
      </c>
      <c r="E3268" t="inlineStr">
        <is>
          <t>HERRLJUNGA</t>
        </is>
      </c>
      <c r="F3268" t="inlineStr">
        <is>
          <t>Kyrkan</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8982-2024</t>
        </is>
      </c>
      <c r="B3269" s="1" t="n">
        <v>45357.52773148148</v>
      </c>
      <c r="C3269" s="1" t="n">
        <v>46011</v>
      </c>
      <c r="D3269" t="inlineStr">
        <is>
          <t>VÄSTRA GÖTALANDS LÄN</t>
        </is>
      </c>
      <c r="E3269" t="inlineStr">
        <is>
          <t>ULRICEHAMN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48640-2023</t>
        </is>
      </c>
      <c r="B3270" s="1" t="n">
        <v>45208</v>
      </c>
      <c r="C3270" s="1" t="n">
        <v>46011</v>
      </c>
      <c r="D3270" t="inlineStr">
        <is>
          <t>VÄSTRA GÖTALANDS LÄN</t>
        </is>
      </c>
      <c r="E3270" t="inlineStr">
        <is>
          <t>TANUM</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10764-2024</t>
        </is>
      </c>
      <c r="B3271" s="1" t="n">
        <v>45369.56681712963</v>
      </c>
      <c r="C3271" s="1" t="n">
        <v>46011</v>
      </c>
      <c r="D3271" t="inlineStr">
        <is>
          <t>VÄSTRA GÖTALANDS LÄN</t>
        </is>
      </c>
      <c r="E3271" t="inlineStr">
        <is>
          <t>STRÖMSTAD</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10768-2024</t>
        </is>
      </c>
      <c r="B3272" s="1" t="n">
        <v>45369.57269675926</v>
      </c>
      <c r="C3272" s="1" t="n">
        <v>46011</v>
      </c>
      <c r="D3272" t="inlineStr">
        <is>
          <t>VÄSTRA GÖTALANDS LÄN</t>
        </is>
      </c>
      <c r="E3272" t="inlineStr">
        <is>
          <t>TROLLHÄTTAN</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20706-2024</t>
        </is>
      </c>
      <c r="B3273" s="1" t="n">
        <v>45436.61275462963</v>
      </c>
      <c r="C3273" s="1" t="n">
        <v>46011</v>
      </c>
      <c r="D3273" t="inlineStr">
        <is>
          <t>VÄSTRA GÖTALANDS LÄN</t>
        </is>
      </c>
      <c r="E3273" t="inlineStr">
        <is>
          <t>UDDEVALLA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10777-2024</t>
        </is>
      </c>
      <c r="B3274" s="1" t="n">
        <v>45369.59260416667</v>
      </c>
      <c r="C3274" s="1" t="n">
        <v>46011</v>
      </c>
      <c r="D3274" t="inlineStr">
        <is>
          <t>VÄSTRA GÖTALANDS LÄN</t>
        </is>
      </c>
      <c r="E3274" t="inlineStr">
        <is>
          <t>TROLLHÄTTAN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20452-2025</t>
        </is>
      </c>
      <c r="B3275" s="1" t="n">
        <v>45775.50196759259</v>
      </c>
      <c r="C3275" s="1" t="n">
        <v>46011</v>
      </c>
      <c r="D3275" t="inlineStr">
        <is>
          <t>VÄSTRA GÖTALANDS LÄN</t>
        </is>
      </c>
      <c r="E3275" t="inlineStr">
        <is>
          <t>BENGTSFORS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20454-2025</t>
        </is>
      </c>
      <c r="B3276" s="1" t="n">
        <v>45775.50877314815</v>
      </c>
      <c r="C3276" s="1" t="n">
        <v>46011</v>
      </c>
      <c r="D3276" t="inlineStr">
        <is>
          <t>VÄSTRA GÖTALANDS LÄN</t>
        </is>
      </c>
      <c r="E3276" t="inlineStr">
        <is>
          <t>VÅRGÅRDA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20456-2025</t>
        </is>
      </c>
      <c r="B3277" s="1" t="n">
        <v>45775.51363425926</v>
      </c>
      <c r="C3277" s="1" t="n">
        <v>46011</v>
      </c>
      <c r="D3277" t="inlineStr">
        <is>
          <t>VÄSTRA GÖTALANDS LÄN</t>
        </is>
      </c>
      <c r="E3277" t="inlineStr">
        <is>
          <t>VÅRGÅRDA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59023-2023</t>
        </is>
      </c>
      <c r="B3278" s="1" t="n">
        <v>45252</v>
      </c>
      <c r="C3278" s="1" t="n">
        <v>46011</v>
      </c>
      <c r="D3278" t="inlineStr">
        <is>
          <t>VÄSTRA GÖTALANDS LÄN</t>
        </is>
      </c>
      <c r="E3278" t="inlineStr">
        <is>
          <t>FÄRGELANDA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59068-2023</t>
        </is>
      </c>
      <c r="B3279" s="1" t="n">
        <v>45252</v>
      </c>
      <c r="C3279" s="1" t="n">
        <v>46011</v>
      </c>
      <c r="D3279" t="inlineStr">
        <is>
          <t>VÄSTRA GÖTALANDS LÄN</t>
        </is>
      </c>
      <c r="E3279" t="inlineStr">
        <is>
          <t>LIDKÖPING</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59070-2023</t>
        </is>
      </c>
      <c r="B3280" s="1" t="n">
        <v>45252.8665625</v>
      </c>
      <c r="C3280" s="1" t="n">
        <v>46011</v>
      </c>
      <c r="D3280" t="inlineStr">
        <is>
          <t>VÄSTRA GÖTALANDS LÄN</t>
        </is>
      </c>
      <c r="E3280" t="inlineStr">
        <is>
          <t>TANUM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59259-2023</t>
        </is>
      </c>
      <c r="B3281" s="1" t="n">
        <v>45253.54922453704</v>
      </c>
      <c r="C3281" s="1" t="n">
        <v>46011</v>
      </c>
      <c r="D3281" t="inlineStr">
        <is>
          <t>VÄSTRA GÖTALANDS LÄN</t>
        </is>
      </c>
      <c r="E3281" t="inlineStr">
        <is>
          <t>VARA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59309-2023</t>
        </is>
      </c>
      <c r="B3282" s="1" t="n">
        <v>45253.606875</v>
      </c>
      <c r="C3282" s="1" t="n">
        <v>46011</v>
      </c>
      <c r="D3282" t="inlineStr">
        <is>
          <t>VÄSTRA GÖTALANDS LÄN</t>
        </is>
      </c>
      <c r="E3282" t="inlineStr">
        <is>
          <t>ORUST</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17492-2024</t>
        </is>
      </c>
      <c r="B3283" s="1" t="n">
        <v>45415.50709490741</v>
      </c>
      <c r="C3283" s="1" t="n">
        <v>46011</v>
      </c>
      <c r="D3283" t="inlineStr">
        <is>
          <t>VÄSTRA GÖTALANDS LÄN</t>
        </is>
      </c>
      <c r="E3283" t="inlineStr">
        <is>
          <t>SOTENÄS</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21140-2024</t>
        </is>
      </c>
      <c r="B3284" s="1" t="n">
        <v>45440.38983796296</v>
      </c>
      <c r="C3284" s="1" t="n">
        <v>46011</v>
      </c>
      <c r="D3284" t="inlineStr">
        <is>
          <t>VÄSTRA GÖTALANDS LÄN</t>
        </is>
      </c>
      <c r="E3284" t="inlineStr">
        <is>
          <t>DALS-ED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21148-2024</t>
        </is>
      </c>
      <c r="B3285" s="1" t="n">
        <v>45440.40162037037</v>
      </c>
      <c r="C3285" s="1" t="n">
        <v>46011</v>
      </c>
      <c r="D3285" t="inlineStr">
        <is>
          <t>VÄSTRA GÖTALANDS LÄN</t>
        </is>
      </c>
      <c r="E3285" t="inlineStr">
        <is>
          <t>DALS-ED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5966-2024</t>
        </is>
      </c>
      <c r="B3286" s="1" t="n">
        <v>45336.48494212963</v>
      </c>
      <c r="C3286" s="1" t="n">
        <v>46011</v>
      </c>
      <c r="D3286" t="inlineStr">
        <is>
          <t>VÄSTRA GÖTALANDS LÄN</t>
        </is>
      </c>
      <c r="E3286" t="inlineStr">
        <is>
          <t>ÅMÅL</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46555-2022</t>
        </is>
      </c>
      <c r="B3287" s="1" t="n">
        <v>44848.63724537037</v>
      </c>
      <c r="C3287" s="1" t="n">
        <v>46011</v>
      </c>
      <c r="D3287" t="inlineStr">
        <is>
          <t>VÄSTRA GÖTALANDS LÄN</t>
        </is>
      </c>
      <c r="E3287" t="inlineStr">
        <is>
          <t>MARIESTAD</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49309-2021</t>
        </is>
      </c>
      <c r="B3288" s="1" t="n">
        <v>44454</v>
      </c>
      <c r="C3288" s="1" t="n">
        <v>46011</v>
      </c>
      <c r="D3288" t="inlineStr">
        <is>
          <t>VÄSTRA GÖTALANDS LÄN</t>
        </is>
      </c>
      <c r="E3288" t="inlineStr">
        <is>
          <t>TIDAHOLM</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13802-2024</t>
        </is>
      </c>
      <c r="B3289" s="1" t="n">
        <v>45391</v>
      </c>
      <c r="C3289" s="1" t="n">
        <v>46011</v>
      </c>
      <c r="D3289" t="inlineStr">
        <is>
          <t>VÄSTRA GÖTALANDS LÄN</t>
        </is>
      </c>
      <c r="E3289" t="inlineStr">
        <is>
          <t>SKÖVDE</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17391-2024</t>
        </is>
      </c>
      <c r="B3290" s="1" t="n">
        <v>45414.68023148148</v>
      </c>
      <c r="C3290" s="1" t="n">
        <v>46011</v>
      </c>
      <c r="D3290" t="inlineStr">
        <is>
          <t>VÄSTRA GÖTALANDS LÄN</t>
        </is>
      </c>
      <c r="E3290" t="inlineStr">
        <is>
          <t>ÅMÅL</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17394-2024</t>
        </is>
      </c>
      <c r="B3291" s="1" t="n">
        <v>45414.68422453704</v>
      </c>
      <c r="C3291" s="1" t="n">
        <v>46011</v>
      </c>
      <c r="D3291" t="inlineStr">
        <is>
          <t>VÄSTRA GÖTALANDS LÄN</t>
        </is>
      </c>
      <c r="E3291" t="inlineStr">
        <is>
          <t>MARK</t>
        </is>
      </c>
      <c r="F3291" t="inlineStr">
        <is>
          <t>Kommuner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9356-2024</t>
        </is>
      </c>
      <c r="B3292" s="1" t="n">
        <v>45359</v>
      </c>
      <c r="C3292" s="1" t="n">
        <v>46011</v>
      </c>
      <c r="D3292" t="inlineStr">
        <is>
          <t>VÄSTRA GÖTALANDS LÄN</t>
        </is>
      </c>
      <c r="E3292" t="inlineStr">
        <is>
          <t>BENGTSFORS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38450-2024</t>
        </is>
      </c>
      <c r="B3293" s="1" t="n">
        <v>45546.43820601852</v>
      </c>
      <c r="C3293" s="1" t="n">
        <v>46011</v>
      </c>
      <c r="D3293" t="inlineStr">
        <is>
          <t>VÄSTRA GÖTALANDS LÄN</t>
        </is>
      </c>
      <c r="E3293" t="inlineStr">
        <is>
          <t>ULRICEHAMN</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9375-2024</t>
        </is>
      </c>
      <c r="B3294" s="1" t="n">
        <v>45359</v>
      </c>
      <c r="C3294" s="1" t="n">
        <v>46011</v>
      </c>
      <c r="D3294" t="inlineStr">
        <is>
          <t>VÄSTRA GÖTALANDS LÄN</t>
        </is>
      </c>
      <c r="E3294" t="inlineStr">
        <is>
          <t>TRANEMO</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9410-2024</t>
        </is>
      </c>
      <c r="B3295" s="1" t="n">
        <v>45359.4405787037</v>
      </c>
      <c r="C3295" s="1" t="n">
        <v>46011</v>
      </c>
      <c r="D3295" t="inlineStr">
        <is>
          <t>VÄSTRA GÖTALANDS LÄN</t>
        </is>
      </c>
      <c r="E3295" t="inlineStr">
        <is>
          <t>VARA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52902-2022</t>
        </is>
      </c>
      <c r="B3296" s="1" t="n">
        <v>44875</v>
      </c>
      <c r="C3296" s="1" t="n">
        <v>46011</v>
      </c>
      <c r="D3296" t="inlineStr">
        <is>
          <t>VÄSTRA GÖTALANDS LÄN</t>
        </is>
      </c>
      <c r="E3296" t="inlineStr">
        <is>
          <t>BENGTSFORS</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51067-2022</t>
        </is>
      </c>
      <c r="B3297" s="1" t="n">
        <v>44868.36377314815</v>
      </c>
      <c r="C3297" s="1" t="n">
        <v>46011</v>
      </c>
      <c r="D3297" t="inlineStr">
        <is>
          <t>VÄSTRA GÖTALANDS LÄN</t>
        </is>
      </c>
      <c r="E3297" t="inlineStr">
        <is>
          <t>ÅMÅL</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30773-2024</t>
        </is>
      </c>
      <c r="B3298" s="1" t="n">
        <v>45496.94711805556</v>
      </c>
      <c r="C3298" s="1" t="n">
        <v>46011</v>
      </c>
      <c r="D3298" t="inlineStr">
        <is>
          <t>VÄSTRA GÖTALANDS LÄN</t>
        </is>
      </c>
      <c r="E3298" t="inlineStr">
        <is>
          <t>TROLLHÄTTAN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42865-2022</t>
        </is>
      </c>
      <c r="B3299" s="1" t="n">
        <v>44832.74553240741</v>
      </c>
      <c r="C3299" s="1" t="n">
        <v>46011</v>
      </c>
      <c r="D3299" t="inlineStr">
        <is>
          <t>VÄSTRA GÖTALANDS LÄN</t>
        </is>
      </c>
      <c r="E3299" t="inlineStr">
        <is>
          <t>ALINGSÅS</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17861-2024</t>
        </is>
      </c>
      <c r="B3300" s="1" t="n">
        <v>45419.43511574074</v>
      </c>
      <c r="C3300" s="1" t="n">
        <v>46011</v>
      </c>
      <c r="D3300" t="inlineStr">
        <is>
          <t>VÄSTRA GÖTALANDS LÄN</t>
        </is>
      </c>
      <c r="E3300" t="inlineStr">
        <is>
          <t>VÄNERSBORG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50855-2022</t>
        </is>
      </c>
      <c r="B3301" s="1" t="n">
        <v>44867.55510416667</v>
      </c>
      <c r="C3301" s="1" t="n">
        <v>46011</v>
      </c>
      <c r="D3301" t="inlineStr">
        <is>
          <t>VÄSTRA GÖTALANDS LÄN</t>
        </is>
      </c>
      <c r="E3301" t="inlineStr">
        <is>
          <t>TRANEMO</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31044-2022</t>
        </is>
      </c>
      <c r="B3302" s="1" t="n">
        <v>44768</v>
      </c>
      <c r="C3302" s="1" t="n">
        <v>46011</v>
      </c>
      <c r="D3302" t="inlineStr">
        <is>
          <t>VÄSTRA GÖTALANDS LÄN</t>
        </is>
      </c>
      <c r="E3302" t="inlineStr">
        <is>
          <t>MARK</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53976-2023</t>
        </is>
      </c>
      <c r="B3303" s="1" t="n">
        <v>45231.64703703704</v>
      </c>
      <c r="C3303" s="1" t="n">
        <v>46011</v>
      </c>
      <c r="D3303" t="inlineStr">
        <is>
          <t>VÄSTRA GÖTALANDS LÄN</t>
        </is>
      </c>
      <c r="E3303" t="inlineStr">
        <is>
          <t>BORÅS</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7263-2025</t>
        </is>
      </c>
      <c r="B3304" s="1" t="n">
        <v>45702.59402777778</v>
      </c>
      <c r="C3304" s="1" t="n">
        <v>46011</v>
      </c>
      <c r="D3304" t="inlineStr">
        <is>
          <t>VÄSTRA GÖTALANDS LÄN</t>
        </is>
      </c>
      <c r="E3304" t="inlineStr">
        <is>
          <t>BENGTSFORS</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26530-2023</t>
        </is>
      </c>
      <c r="B3305" s="1" t="n">
        <v>45092</v>
      </c>
      <c r="C3305" s="1" t="n">
        <v>46011</v>
      </c>
      <c r="D3305" t="inlineStr">
        <is>
          <t>VÄSTRA GÖTALANDS LÄN</t>
        </is>
      </c>
      <c r="E3305" t="inlineStr">
        <is>
          <t>MELLERUD</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17627-2024</t>
        </is>
      </c>
      <c r="B3306" s="1" t="n">
        <v>45418.30951388889</v>
      </c>
      <c r="C3306" s="1" t="n">
        <v>46011</v>
      </c>
      <c r="D3306" t="inlineStr">
        <is>
          <t>VÄSTRA GÖTALANDS LÄN</t>
        </is>
      </c>
      <c r="E3306" t="inlineStr">
        <is>
          <t>FÄRGELANDA</t>
        </is>
      </c>
      <c r="F3306" t="inlineStr">
        <is>
          <t>Kommuner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38-2022</t>
        </is>
      </c>
      <c r="B3307" s="1" t="n">
        <v>44564.37274305556</v>
      </c>
      <c r="C3307" s="1" t="n">
        <v>46011</v>
      </c>
      <c r="D3307" t="inlineStr">
        <is>
          <t>VÄSTRA GÖTALANDS LÄN</t>
        </is>
      </c>
      <c r="E3307" t="inlineStr">
        <is>
          <t>MÖLNDAL</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39343-2022</t>
        </is>
      </c>
      <c r="B3308" s="1" t="n">
        <v>44817</v>
      </c>
      <c r="C3308" s="1" t="n">
        <v>46011</v>
      </c>
      <c r="D3308" t="inlineStr">
        <is>
          <t>VÄSTRA GÖTALANDS LÄN</t>
        </is>
      </c>
      <c r="E3308" t="inlineStr">
        <is>
          <t>ULRICEHAMN</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9958-2024</t>
        </is>
      </c>
      <c r="B3309" s="1" t="n">
        <v>45363.63673611111</v>
      </c>
      <c r="C3309" s="1" t="n">
        <v>46011</v>
      </c>
      <c r="D3309" t="inlineStr">
        <is>
          <t>VÄSTRA GÖTALANDS LÄN</t>
        </is>
      </c>
      <c r="E3309" t="inlineStr">
        <is>
          <t>FALKÖPING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49536-2021</t>
        </is>
      </c>
      <c r="B3310" s="1" t="n">
        <v>44455.33650462963</v>
      </c>
      <c r="C3310" s="1" t="n">
        <v>46011</v>
      </c>
      <c r="D3310" t="inlineStr">
        <is>
          <t>VÄSTRA GÖTALANDS LÄN</t>
        </is>
      </c>
      <c r="E3310" t="inlineStr">
        <is>
          <t>GÖTENE</t>
        </is>
      </c>
      <c r="F3310" t="inlineStr">
        <is>
          <t>Övriga Aktiebolag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27451-2023</t>
        </is>
      </c>
      <c r="B3311" s="1" t="n">
        <v>45097.42556712963</v>
      </c>
      <c r="C3311" s="1" t="n">
        <v>46011</v>
      </c>
      <c r="D3311" t="inlineStr">
        <is>
          <t>VÄSTRA GÖTALANDS LÄN</t>
        </is>
      </c>
      <c r="E3311" t="inlineStr">
        <is>
          <t>MARIESTAD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64762-2021</t>
        </is>
      </c>
      <c r="B3312" s="1" t="n">
        <v>44512</v>
      </c>
      <c r="C3312" s="1" t="n">
        <v>46011</v>
      </c>
      <c r="D3312" t="inlineStr">
        <is>
          <t>VÄSTRA GÖTALANDS LÄN</t>
        </is>
      </c>
      <c r="E3312" t="inlineStr">
        <is>
          <t>ULRICEHAMN</t>
        </is>
      </c>
      <c r="F3312" t="inlineStr">
        <is>
          <t>Sveaskog</t>
        </is>
      </c>
      <c r="G3312" t="n">
        <v>8.4</v>
      </c>
      <c r="H3312" t="n">
        <v>0</v>
      </c>
      <c r="I3312" t="n">
        <v>0</v>
      </c>
      <c r="J3312" t="n">
        <v>0</v>
      </c>
      <c r="K3312" t="n">
        <v>0</v>
      </c>
      <c r="L3312" t="n">
        <v>0</v>
      </c>
      <c r="M3312" t="n">
        <v>0</v>
      </c>
      <c r="N3312" t="n">
        <v>0</v>
      </c>
      <c r="O3312" t="n">
        <v>0</v>
      </c>
      <c r="P3312" t="n">
        <v>0</v>
      </c>
      <c r="Q3312" t="n">
        <v>0</v>
      </c>
      <c r="R3312" s="2" t="inlineStr"/>
    </row>
    <row r="3313" ht="15" customHeight="1">
      <c r="A3313" t="inlineStr">
        <is>
          <t>A 51812-2022</t>
        </is>
      </c>
      <c r="B3313" s="1" t="n">
        <v>44872</v>
      </c>
      <c r="C3313" s="1" t="n">
        <v>46011</v>
      </c>
      <c r="D3313" t="inlineStr">
        <is>
          <t>VÄSTRA GÖTALANDS LÄN</t>
        </is>
      </c>
      <c r="E3313" t="inlineStr">
        <is>
          <t>TANUM</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51825-2022</t>
        </is>
      </c>
      <c r="B3314" s="1" t="n">
        <v>44872</v>
      </c>
      <c r="C3314" s="1" t="n">
        <v>46011</v>
      </c>
      <c r="D3314" t="inlineStr">
        <is>
          <t>VÄSTRA GÖTALANDS LÄN</t>
        </is>
      </c>
      <c r="E3314" t="inlineStr">
        <is>
          <t>TANUM</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44301-2022</t>
        </is>
      </c>
      <c r="B3315" s="1" t="n">
        <v>44839.62133101852</v>
      </c>
      <c r="C3315" s="1" t="n">
        <v>46011</v>
      </c>
      <c r="D3315" t="inlineStr">
        <is>
          <t>VÄSTRA GÖTALANDS LÄN</t>
        </is>
      </c>
      <c r="E3315" t="inlineStr">
        <is>
          <t>TANUM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48957-2022</t>
        </is>
      </c>
      <c r="B3316" s="1" t="n">
        <v>44860.31002314815</v>
      </c>
      <c r="C3316" s="1" t="n">
        <v>46011</v>
      </c>
      <c r="D3316" t="inlineStr">
        <is>
          <t>VÄSTRA GÖTALANDS LÄN</t>
        </is>
      </c>
      <c r="E3316" t="inlineStr">
        <is>
          <t>TÖREBODA</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13024-2025</t>
        </is>
      </c>
      <c r="B3317" s="1" t="n">
        <v>45734.55474537037</v>
      </c>
      <c r="C3317" s="1" t="n">
        <v>46011</v>
      </c>
      <c r="D3317" t="inlineStr">
        <is>
          <t>VÄSTRA GÖTALANDS LÄN</t>
        </is>
      </c>
      <c r="E3317" t="inlineStr">
        <is>
          <t>SVENLJUNGA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24144-2021</t>
        </is>
      </c>
      <c r="B3318" s="1" t="n">
        <v>44336</v>
      </c>
      <c r="C3318" s="1" t="n">
        <v>46011</v>
      </c>
      <c r="D3318" t="inlineStr">
        <is>
          <t>VÄSTRA GÖTALANDS LÄN</t>
        </is>
      </c>
      <c r="E3318" t="inlineStr">
        <is>
          <t>MARK</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52886-2023</t>
        </is>
      </c>
      <c r="B3319" s="1" t="n">
        <v>45226.47944444444</v>
      </c>
      <c r="C3319" s="1" t="n">
        <v>46011</v>
      </c>
      <c r="D3319" t="inlineStr">
        <is>
          <t>VÄSTRA GÖTALANDS LÄN</t>
        </is>
      </c>
      <c r="E3319" t="inlineStr">
        <is>
          <t>FALKÖPING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18932-2025</t>
        </is>
      </c>
      <c r="B3320" s="1" t="n">
        <v>45764.48844907407</v>
      </c>
      <c r="C3320" s="1" t="n">
        <v>46011</v>
      </c>
      <c r="D3320" t="inlineStr">
        <is>
          <t>VÄSTRA GÖTALANDS LÄN</t>
        </is>
      </c>
      <c r="E3320" t="inlineStr">
        <is>
          <t>SVENLJUNGA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49002-2022</t>
        </is>
      </c>
      <c r="B3321" s="1" t="n">
        <v>44860.390625</v>
      </c>
      <c r="C3321" s="1" t="n">
        <v>46011</v>
      </c>
      <c r="D3321" t="inlineStr">
        <is>
          <t>VÄSTRA GÖTALANDS LÄN</t>
        </is>
      </c>
      <c r="E3321" t="inlineStr">
        <is>
          <t>SKARA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49041-2022</t>
        </is>
      </c>
      <c r="B3322" s="1" t="n">
        <v>44858</v>
      </c>
      <c r="C3322" s="1" t="n">
        <v>46011</v>
      </c>
      <c r="D3322" t="inlineStr">
        <is>
          <t>VÄSTRA GÖTALANDS LÄN</t>
        </is>
      </c>
      <c r="E3322" t="inlineStr">
        <is>
          <t>VARA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18383-2024</t>
        </is>
      </c>
      <c r="B3323" s="1" t="n">
        <v>45424.67069444444</v>
      </c>
      <c r="C3323" s="1" t="n">
        <v>46011</v>
      </c>
      <c r="D3323" t="inlineStr">
        <is>
          <t>VÄSTRA GÖTALANDS LÄN</t>
        </is>
      </c>
      <c r="E3323" t="inlineStr">
        <is>
          <t>TRANEMO</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18427-2024</t>
        </is>
      </c>
      <c r="B3324" s="1" t="n">
        <v>45425.42435185185</v>
      </c>
      <c r="C3324" s="1" t="n">
        <v>46011</v>
      </c>
      <c r="D3324" t="inlineStr">
        <is>
          <t>VÄSTRA GÖTALANDS LÄN</t>
        </is>
      </c>
      <c r="E3324" t="inlineStr">
        <is>
          <t>HERRLJUNGA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61695-2023</t>
        </is>
      </c>
      <c r="B3325" s="1" t="n">
        <v>45261</v>
      </c>
      <c r="C3325" s="1" t="n">
        <v>46011</v>
      </c>
      <c r="D3325" t="inlineStr">
        <is>
          <t>VÄSTRA GÖTALANDS LÄN</t>
        </is>
      </c>
      <c r="E3325" t="inlineStr">
        <is>
          <t>MUNKEDAL</t>
        </is>
      </c>
      <c r="F3325" t="inlineStr">
        <is>
          <t>Övriga Aktiebolag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61705-2023</t>
        </is>
      </c>
      <c r="B3326" s="1" t="n">
        <v>45265.65418981481</v>
      </c>
      <c r="C3326" s="1" t="n">
        <v>46011</v>
      </c>
      <c r="D3326" t="inlineStr">
        <is>
          <t>VÄSTRA GÖTALANDS LÄN</t>
        </is>
      </c>
      <c r="E3326" t="inlineStr">
        <is>
          <t>HERRLJUNGA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14339-2024</t>
        </is>
      </c>
      <c r="B3327" s="1" t="n">
        <v>45393.72733796296</v>
      </c>
      <c r="C3327" s="1" t="n">
        <v>46011</v>
      </c>
      <c r="D3327" t="inlineStr">
        <is>
          <t>VÄSTRA GÖTALANDS LÄN</t>
        </is>
      </c>
      <c r="E3327" t="inlineStr">
        <is>
          <t>MUNKEDAL</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18806-2024</t>
        </is>
      </c>
      <c r="B3328" s="1" t="n">
        <v>45426.61425925926</v>
      </c>
      <c r="C3328" s="1" t="n">
        <v>46011</v>
      </c>
      <c r="D3328" t="inlineStr">
        <is>
          <t>VÄSTRA GÖTALANDS LÄN</t>
        </is>
      </c>
      <c r="E3328" t="inlineStr">
        <is>
          <t>UDDEVALLA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54394-2022</t>
        </is>
      </c>
      <c r="B3329" s="1" t="n">
        <v>44882.53041666667</v>
      </c>
      <c r="C3329" s="1" t="n">
        <v>46011</v>
      </c>
      <c r="D3329" t="inlineStr">
        <is>
          <t>VÄSTRA GÖTALANDS LÄN</t>
        </is>
      </c>
      <c r="E3329" t="inlineStr">
        <is>
          <t>TRANEMO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61754-2023</t>
        </is>
      </c>
      <c r="B3330" s="1" t="n">
        <v>45265.8140625</v>
      </c>
      <c r="C3330" s="1" t="n">
        <v>46011</v>
      </c>
      <c r="D3330" t="inlineStr">
        <is>
          <t>VÄSTRA GÖTALANDS LÄN</t>
        </is>
      </c>
      <c r="E3330" t="inlineStr">
        <is>
          <t>TIDAHOLM</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12990-2024</t>
        </is>
      </c>
      <c r="B3331" s="1" t="n">
        <v>45385.55565972222</v>
      </c>
      <c r="C3331" s="1" t="n">
        <v>46011</v>
      </c>
      <c r="D3331" t="inlineStr">
        <is>
          <t>VÄSTRA GÖTALANDS LÄN</t>
        </is>
      </c>
      <c r="E3331" t="inlineStr">
        <is>
          <t>VÅRGÅRDA</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14746-2024</t>
        </is>
      </c>
      <c r="B3332" s="1" t="n">
        <v>45397.6390625</v>
      </c>
      <c r="C3332" s="1" t="n">
        <v>46011</v>
      </c>
      <c r="D3332" t="inlineStr">
        <is>
          <t>VÄSTRA GÖTALANDS LÄN</t>
        </is>
      </c>
      <c r="E3332" t="inlineStr">
        <is>
          <t>MARK</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240-2023</t>
        </is>
      </c>
      <c r="B3333" s="1" t="n">
        <v>44928</v>
      </c>
      <c r="C3333" s="1" t="n">
        <v>46011</v>
      </c>
      <c r="D3333" t="inlineStr">
        <is>
          <t>VÄSTRA GÖTALANDS LÄN</t>
        </is>
      </c>
      <c r="E3333" t="inlineStr">
        <is>
          <t>UDDEVALLA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247-2023</t>
        </is>
      </c>
      <c r="B3334" s="1" t="n">
        <v>44928</v>
      </c>
      <c r="C3334" s="1" t="n">
        <v>46011</v>
      </c>
      <c r="D3334" t="inlineStr">
        <is>
          <t>VÄSTRA GÖTALANDS LÄN</t>
        </is>
      </c>
      <c r="E3334" t="inlineStr">
        <is>
          <t>FALKÖPING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248-2023</t>
        </is>
      </c>
      <c r="B3335" s="1" t="n">
        <v>44928</v>
      </c>
      <c r="C3335" s="1" t="n">
        <v>46011</v>
      </c>
      <c r="D3335" t="inlineStr">
        <is>
          <t>VÄSTRA GÖTALANDS LÄN</t>
        </is>
      </c>
      <c r="E3335" t="inlineStr">
        <is>
          <t>FALKÖPING</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46113-2022</t>
        </is>
      </c>
      <c r="B3336" s="1" t="n">
        <v>44847</v>
      </c>
      <c r="C3336" s="1" t="n">
        <v>46011</v>
      </c>
      <c r="D3336" t="inlineStr">
        <is>
          <t>VÄSTRA GÖTALANDS LÄN</t>
        </is>
      </c>
      <c r="E3336" t="inlineStr">
        <is>
          <t>HERRLJUNGA</t>
        </is>
      </c>
      <c r="F3336" t="inlineStr">
        <is>
          <t>Sveaskog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56210-2022</t>
        </is>
      </c>
      <c r="B3337" s="1" t="n">
        <v>44890.45704861111</v>
      </c>
      <c r="C3337" s="1" t="n">
        <v>46011</v>
      </c>
      <c r="D3337" t="inlineStr">
        <is>
          <t>VÄSTRA GÖTALANDS LÄN</t>
        </is>
      </c>
      <c r="E3337" t="inlineStr">
        <is>
          <t>ÅMÅL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56218-2022</t>
        </is>
      </c>
      <c r="B3338" s="1" t="n">
        <v>44890.46577546297</v>
      </c>
      <c r="C3338" s="1" t="n">
        <v>46011</v>
      </c>
      <c r="D3338" t="inlineStr">
        <is>
          <t>VÄSTRA GÖTALANDS LÄN</t>
        </is>
      </c>
      <c r="E3338" t="inlineStr">
        <is>
          <t>ÅMÅL</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43618-2022</t>
        </is>
      </c>
      <c r="B3339" s="1" t="n">
        <v>44837</v>
      </c>
      <c r="C3339" s="1" t="n">
        <v>46011</v>
      </c>
      <c r="D3339" t="inlineStr">
        <is>
          <t>VÄSTRA GÖTALANDS LÄN</t>
        </is>
      </c>
      <c r="E3339" t="inlineStr">
        <is>
          <t>SVENLJUNGA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39437-2021</t>
        </is>
      </c>
      <c r="B3340" s="1" t="n">
        <v>44414.531875</v>
      </c>
      <c r="C3340" s="1" t="n">
        <v>46011</v>
      </c>
      <c r="D3340" t="inlineStr">
        <is>
          <t>VÄSTRA GÖTALANDS LÄN</t>
        </is>
      </c>
      <c r="E3340" t="inlineStr">
        <is>
          <t>MARIESTAD</t>
        </is>
      </c>
      <c r="F3340" t="inlineStr">
        <is>
          <t>Sveaskog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30175-2022</t>
        </is>
      </c>
      <c r="B3341" s="1" t="n">
        <v>44757</v>
      </c>
      <c r="C3341" s="1" t="n">
        <v>46011</v>
      </c>
      <c r="D3341" t="inlineStr">
        <is>
          <t>VÄSTRA GÖTALANDS LÄN</t>
        </is>
      </c>
      <c r="E3341" t="inlineStr">
        <is>
          <t>STENUNGSUND</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5964-2021</t>
        </is>
      </c>
      <c r="B3342" s="1" t="n">
        <v>44231</v>
      </c>
      <c r="C3342" s="1" t="n">
        <v>46011</v>
      </c>
      <c r="D3342" t="inlineStr">
        <is>
          <t>VÄSTRA GÖTALANDS LÄN</t>
        </is>
      </c>
      <c r="E3342" t="inlineStr">
        <is>
          <t>ÅMÅL</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58617-2023</t>
        </is>
      </c>
      <c r="B3343" s="1" t="n">
        <v>45251</v>
      </c>
      <c r="C3343" s="1" t="n">
        <v>46011</v>
      </c>
      <c r="D3343" t="inlineStr">
        <is>
          <t>VÄSTRA GÖTALANDS LÄN</t>
        </is>
      </c>
      <c r="E3343" t="inlineStr">
        <is>
          <t>MUNKEDAL</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58650-2023</t>
        </is>
      </c>
      <c r="B3344" s="1" t="n">
        <v>45251.59912037037</v>
      </c>
      <c r="C3344" s="1" t="n">
        <v>46011</v>
      </c>
      <c r="D3344" t="inlineStr">
        <is>
          <t>VÄSTRA GÖTALANDS LÄN</t>
        </is>
      </c>
      <c r="E3344" t="inlineStr">
        <is>
          <t>GÖTENE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15292-2025</t>
        </is>
      </c>
      <c r="B3345" s="1" t="n">
        <v>45745.71576388889</v>
      </c>
      <c r="C3345" s="1" t="n">
        <v>46011</v>
      </c>
      <c r="D3345" t="inlineStr">
        <is>
          <t>VÄSTRA GÖTALANDS LÄN</t>
        </is>
      </c>
      <c r="E3345" t="inlineStr">
        <is>
          <t>MARK</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15326-2025</t>
        </is>
      </c>
      <c r="B3346" s="1" t="n">
        <v>45747.33934027778</v>
      </c>
      <c r="C3346" s="1" t="n">
        <v>46011</v>
      </c>
      <c r="D3346" t="inlineStr">
        <is>
          <t>VÄSTRA GÖTALANDS LÄN</t>
        </is>
      </c>
      <c r="E3346" t="inlineStr">
        <is>
          <t>TRANEMO</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15330-2025</t>
        </is>
      </c>
      <c r="B3347" s="1" t="n">
        <v>45747.34612268519</v>
      </c>
      <c r="C3347" s="1" t="n">
        <v>46011</v>
      </c>
      <c r="D3347" t="inlineStr">
        <is>
          <t>VÄSTRA GÖTALANDS LÄN</t>
        </is>
      </c>
      <c r="E3347" t="inlineStr">
        <is>
          <t>TRANEMO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62272-2023</t>
        </is>
      </c>
      <c r="B3348" s="1" t="n">
        <v>45267.63773148148</v>
      </c>
      <c r="C3348" s="1" t="n">
        <v>46011</v>
      </c>
      <c r="D3348" t="inlineStr">
        <is>
          <t>VÄSTRA GÖTALANDS LÄN</t>
        </is>
      </c>
      <c r="E3348" t="inlineStr">
        <is>
          <t>SKÖVDE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62279-2023</t>
        </is>
      </c>
      <c r="B3349" s="1" t="n">
        <v>45266</v>
      </c>
      <c r="C3349" s="1" t="n">
        <v>46011</v>
      </c>
      <c r="D3349" t="inlineStr">
        <is>
          <t>VÄSTRA GÖTALANDS LÄN</t>
        </is>
      </c>
      <c r="E3349" t="inlineStr">
        <is>
          <t>HERRLJUNGA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62313-2023</t>
        </is>
      </c>
      <c r="B3350" s="1" t="n">
        <v>45267</v>
      </c>
      <c r="C3350" s="1" t="n">
        <v>46011</v>
      </c>
      <c r="D3350" t="inlineStr">
        <is>
          <t>VÄSTRA GÖTALANDS LÄN</t>
        </is>
      </c>
      <c r="E3350" t="inlineStr">
        <is>
          <t>VARA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11625-2024</t>
        </is>
      </c>
      <c r="B3351" s="1" t="n">
        <v>45373</v>
      </c>
      <c r="C3351" s="1" t="n">
        <v>46011</v>
      </c>
      <c r="D3351" t="inlineStr">
        <is>
          <t>VÄSTRA GÖTALANDS LÄN</t>
        </is>
      </c>
      <c r="E3351" t="inlineStr">
        <is>
          <t>HERRLJUNGA</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46883-2021</t>
        </is>
      </c>
      <c r="B3352" s="1" t="n">
        <v>44446</v>
      </c>
      <c r="C3352" s="1" t="n">
        <v>46011</v>
      </c>
      <c r="D3352" t="inlineStr">
        <is>
          <t>VÄSTRA GÖTALANDS LÄN</t>
        </is>
      </c>
      <c r="E3352" t="inlineStr">
        <is>
          <t>ALINGSÅS</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26893-2023</t>
        </is>
      </c>
      <c r="B3353" s="1" t="n">
        <v>45093.59811342593</v>
      </c>
      <c r="C3353" s="1" t="n">
        <v>46011</v>
      </c>
      <c r="D3353" t="inlineStr">
        <is>
          <t>VÄSTRA GÖTALANDS LÄN</t>
        </is>
      </c>
      <c r="E3353" t="inlineStr">
        <is>
          <t>ULRICEHAMN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26916-2023</t>
        </is>
      </c>
      <c r="B3354" s="1" t="n">
        <v>45093</v>
      </c>
      <c r="C3354" s="1" t="n">
        <v>46011</v>
      </c>
      <c r="D3354" t="inlineStr">
        <is>
          <t>VÄSTRA GÖTALANDS LÄN</t>
        </is>
      </c>
      <c r="E3354" t="inlineStr">
        <is>
          <t>UDDEVALLA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38526-2022</t>
        </is>
      </c>
      <c r="B3355" s="1" t="n">
        <v>44813.45697916667</v>
      </c>
      <c r="C3355" s="1" t="n">
        <v>46011</v>
      </c>
      <c r="D3355" t="inlineStr">
        <is>
          <t>VÄSTRA GÖTALANDS LÄN</t>
        </is>
      </c>
      <c r="E3355" t="inlineStr">
        <is>
          <t>ÅMÅL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136-2023</t>
        </is>
      </c>
      <c r="B3356" s="1" t="n">
        <v>44928.51184027778</v>
      </c>
      <c r="C3356" s="1" t="n">
        <v>46011</v>
      </c>
      <c r="D3356" t="inlineStr">
        <is>
          <t>VÄSTRA GÖTALANDS LÄN</t>
        </is>
      </c>
      <c r="E3356" t="inlineStr">
        <is>
          <t>LIDKÖPING</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50372-2023</t>
        </is>
      </c>
      <c r="B3357" s="1" t="n">
        <v>45209</v>
      </c>
      <c r="C3357" s="1" t="n">
        <v>46011</v>
      </c>
      <c r="D3357" t="inlineStr">
        <is>
          <t>VÄSTRA GÖTALANDS LÄN</t>
        </is>
      </c>
      <c r="E3357" t="inlineStr">
        <is>
          <t>TANUM</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50383-2023</t>
        </is>
      </c>
      <c r="B3358" s="1" t="n">
        <v>45210</v>
      </c>
      <c r="C3358" s="1" t="n">
        <v>46011</v>
      </c>
      <c r="D3358" t="inlineStr">
        <is>
          <t>VÄSTRA GÖTALANDS LÄN</t>
        </is>
      </c>
      <c r="E3358" t="inlineStr">
        <is>
          <t>TANUM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50405-2023</t>
        </is>
      </c>
      <c r="B3359" s="1" t="n">
        <v>45216</v>
      </c>
      <c r="C3359" s="1" t="n">
        <v>46011</v>
      </c>
      <c r="D3359" t="inlineStr">
        <is>
          <t>VÄSTRA GÖTALANDS LÄN</t>
        </is>
      </c>
      <c r="E3359" t="inlineStr">
        <is>
          <t>LERUM</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50410-2023</t>
        </is>
      </c>
      <c r="B3360" s="1" t="n">
        <v>45216.66064814815</v>
      </c>
      <c r="C3360" s="1" t="n">
        <v>46011</v>
      </c>
      <c r="D3360" t="inlineStr">
        <is>
          <t>VÄSTRA GÖTALANDS LÄN</t>
        </is>
      </c>
      <c r="E3360" t="inlineStr">
        <is>
          <t>LERUM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17974-2024</t>
        </is>
      </c>
      <c r="B3361" s="1" t="n">
        <v>45419.80950231481</v>
      </c>
      <c r="C3361" s="1" t="n">
        <v>46011</v>
      </c>
      <c r="D3361" t="inlineStr">
        <is>
          <t>VÄSTRA GÖTALANDS LÄN</t>
        </is>
      </c>
      <c r="E3361" t="inlineStr">
        <is>
          <t>FÄRGELANDA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13880-2024</t>
        </is>
      </c>
      <c r="B3362" s="1" t="n">
        <v>45391.59994212963</v>
      </c>
      <c r="C3362" s="1" t="n">
        <v>46011</v>
      </c>
      <c r="D3362" t="inlineStr">
        <is>
          <t>VÄSTRA GÖTALANDS LÄN</t>
        </is>
      </c>
      <c r="E3362" t="inlineStr">
        <is>
          <t>KUNGÄLV</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53406-2022</t>
        </is>
      </c>
      <c r="B3363" s="1" t="n">
        <v>44879</v>
      </c>
      <c r="C3363" s="1" t="n">
        <v>46011</v>
      </c>
      <c r="D3363" t="inlineStr">
        <is>
          <t>VÄSTRA GÖTALANDS LÄN</t>
        </is>
      </c>
      <c r="E3363" t="inlineStr">
        <is>
          <t>TANUM</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13887-2024</t>
        </is>
      </c>
      <c r="B3364" s="1" t="n">
        <v>45391.61759259259</v>
      </c>
      <c r="C3364" s="1" t="n">
        <v>46011</v>
      </c>
      <c r="D3364" t="inlineStr">
        <is>
          <t>VÄSTRA GÖTALANDS LÄN</t>
        </is>
      </c>
      <c r="E3364" t="inlineStr">
        <is>
          <t>LILLA EDET</t>
        </is>
      </c>
      <c r="G3364" t="n">
        <v>11.3</v>
      </c>
      <c r="H3364" t="n">
        <v>0</v>
      </c>
      <c r="I3364" t="n">
        <v>0</v>
      </c>
      <c r="J3364" t="n">
        <v>0</v>
      </c>
      <c r="K3364" t="n">
        <v>0</v>
      </c>
      <c r="L3364" t="n">
        <v>0</v>
      </c>
      <c r="M3364" t="n">
        <v>0</v>
      </c>
      <c r="N3364" t="n">
        <v>0</v>
      </c>
      <c r="O3364" t="n">
        <v>0</v>
      </c>
      <c r="P3364" t="n">
        <v>0</v>
      </c>
      <c r="Q3364" t="n">
        <v>0</v>
      </c>
      <c r="R3364" s="2" t="inlineStr"/>
    </row>
    <row r="3365" ht="15" customHeight="1">
      <c r="A3365" t="inlineStr">
        <is>
          <t>A 43927-2022</t>
        </is>
      </c>
      <c r="B3365" s="1" t="n">
        <v>44838</v>
      </c>
      <c r="C3365" s="1" t="n">
        <v>46011</v>
      </c>
      <c r="D3365" t="inlineStr">
        <is>
          <t>VÄSTRA GÖTALANDS LÄN</t>
        </is>
      </c>
      <c r="E3365" t="inlineStr">
        <is>
          <t>TRANEMO</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23122-2024</t>
        </is>
      </c>
      <c r="B3366" s="1" t="n">
        <v>45450.60342592592</v>
      </c>
      <c r="C3366" s="1" t="n">
        <v>46011</v>
      </c>
      <c r="D3366" t="inlineStr">
        <is>
          <t>VÄSTRA GÖTALANDS LÄN</t>
        </is>
      </c>
      <c r="E3366" t="inlineStr">
        <is>
          <t>TANUM</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14919-2024</t>
        </is>
      </c>
      <c r="B3367" s="1" t="n">
        <v>45398</v>
      </c>
      <c r="C3367" s="1" t="n">
        <v>46011</v>
      </c>
      <c r="D3367" t="inlineStr">
        <is>
          <t>VÄSTRA GÖTALANDS LÄN</t>
        </is>
      </c>
      <c r="E3367" t="inlineStr">
        <is>
          <t>ULRICEHAMN</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4072-2021</t>
        </is>
      </c>
      <c r="B3368" s="1" t="n">
        <v>44222.66707175926</v>
      </c>
      <c r="C3368" s="1" t="n">
        <v>46011</v>
      </c>
      <c r="D3368" t="inlineStr">
        <is>
          <t>VÄSTRA GÖTALANDS LÄN</t>
        </is>
      </c>
      <c r="E3368" t="inlineStr">
        <is>
          <t>ÅMÅL</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15006-2024</t>
        </is>
      </c>
      <c r="B3369" s="1" t="n">
        <v>45399.42413194444</v>
      </c>
      <c r="C3369" s="1" t="n">
        <v>46011</v>
      </c>
      <c r="D3369" t="inlineStr">
        <is>
          <t>VÄSTRA GÖTALANDS LÄN</t>
        </is>
      </c>
      <c r="E3369" t="inlineStr">
        <is>
          <t>ALINGSÅS</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32154-2021</t>
        </is>
      </c>
      <c r="B3370" s="1" t="n">
        <v>44371</v>
      </c>
      <c r="C3370" s="1" t="n">
        <v>46011</v>
      </c>
      <c r="D3370" t="inlineStr">
        <is>
          <t>VÄSTRA GÖTALANDS LÄN</t>
        </is>
      </c>
      <c r="E3370" t="inlineStr">
        <is>
          <t>MARK</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28205-2021</t>
        </is>
      </c>
      <c r="B3371" s="1" t="n">
        <v>44355</v>
      </c>
      <c r="C3371" s="1" t="n">
        <v>46011</v>
      </c>
      <c r="D3371" t="inlineStr">
        <is>
          <t>VÄSTRA GÖTALANDS LÄN</t>
        </is>
      </c>
      <c r="E3371" t="inlineStr">
        <is>
          <t>GÖTENE</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28733-2021</t>
        </is>
      </c>
      <c r="B3372" s="1" t="n">
        <v>44357</v>
      </c>
      <c r="C3372" s="1" t="n">
        <v>46011</v>
      </c>
      <c r="D3372" t="inlineStr">
        <is>
          <t>VÄSTRA GÖTALANDS LÄN</t>
        </is>
      </c>
      <c r="E3372" t="inlineStr">
        <is>
          <t>HERRLJUNGA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1046-2023</t>
        </is>
      </c>
      <c r="B3373" s="1" t="n">
        <v>44929</v>
      </c>
      <c r="C3373" s="1" t="n">
        <v>46011</v>
      </c>
      <c r="D3373" t="inlineStr">
        <is>
          <t>VÄSTRA GÖTALANDS LÄN</t>
        </is>
      </c>
      <c r="E3373" t="inlineStr">
        <is>
          <t>BENGTSFORS</t>
        </is>
      </c>
      <c r="F3373" t="inlineStr">
        <is>
          <t>Kyrkan</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12710-2024</t>
        </is>
      </c>
      <c r="B3374" s="1" t="n">
        <v>45384.46582175926</v>
      </c>
      <c r="C3374" s="1" t="n">
        <v>46011</v>
      </c>
      <c r="D3374" t="inlineStr">
        <is>
          <t>VÄSTRA GÖTALANDS LÄN</t>
        </is>
      </c>
      <c r="E3374" t="inlineStr">
        <is>
          <t>FÄRGELANDA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27030-2023</t>
        </is>
      </c>
      <c r="B3375" s="1" t="n">
        <v>45095</v>
      </c>
      <c r="C3375" s="1" t="n">
        <v>46011</v>
      </c>
      <c r="D3375" t="inlineStr">
        <is>
          <t>VÄSTRA GÖTALANDS LÄN</t>
        </is>
      </c>
      <c r="E3375" t="inlineStr">
        <is>
          <t>STENUNGSUND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58204-2023</t>
        </is>
      </c>
      <c r="B3376" s="1" t="n">
        <v>45250</v>
      </c>
      <c r="C3376" s="1" t="n">
        <v>46011</v>
      </c>
      <c r="D3376" t="inlineStr">
        <is>
          <t>VÄSTRA GÖTALANDS LÄN</t>
        </is>
      </c>
      <c r="E3376" t="inlineStr">
        <is>
          <t>ULRICEHAMN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17712-2025</t>
        </is>
      </c>
      <c r="B3377" s="1" t="n">
        <v>45758</v>
      </c>
      <c r="C3377" s="1" t="n">
        <v>46011</v>
      </c>
      <c r="D3377" t="inlineStr">
        <is>
          <t>VÄSTRA GÖTALANDS LÄN</t>
        </is>
      </c>
      <c r="E3377" t="inlineStr">
        <is>
          <t>GRÄSTORP</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20169-2025</t>
        </is>
      </c>
      <c r="B3378" s="1" t="n">
        <v>45772.57777777778</v>
      </c>
      <c r="C3378" s="1" t="n">
        <v>46011</v>
      </c>
      <c r="D3378" t="inlineStr">
        <is>
          <t>VÄSTRA GÖTALANDS LÄN</t>
        </is>
      </c>
      <c r="E3378" t="inlineStr">
        <is>
          <t>VÅRGÅRDA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14493-2024</t>
        </is>
      </c>
      <c r="B3379" s="1" t="n">
        <v>45394.58491898148</v>
      </c>
      <c r="C3379" s="1" t="n">
        <v>46011</v>
      </c>
      <c r="D3379" t="inlineStr">
        <is>
          <t>VÄSTRA GÖTALANDS LÄN</t>
        </is>
      </c>
      <c r="E3379" t="inlineStr">
        <is>
          <t>ALE</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3946-2024</t>
        </is>
      </c>
      <c r="B3380" s="1" t="n">
        <v>45322.65063657407</v>
      </c>
      <c r="C3380" s="1" t="n">
        <v>46011</v>
      </c>
      <c r="D3380" t="inlineStr">
        <is>
          <t>VÄSTRA GÖTALANDS LÄN</t>
        </is>
      </c>
      <c r="E3380" t="inlineStr">
        <is>
          <t>SKÖVDE</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11683-2024</t>
        </is>
      </c>
      <c r="B3381" s="1" t="n">
        <v>45373</v>
      </c>
      <c r="C3381" s="1" t="n">
        <v>46011</v>
      </c>
      <c r="D3381" t="inlineStr">
        <is>
          <t>VÄSTRA GÖTALANDS LÄN</t>
        </is>
      </c>
      <c r="E3381" t="inlineStr">
        <is>
          <t>TÖREBODA</t>
        </is>
      </c>
      <c r="G3381" t="n">
        <v>23.8</v>
      </c>
      <c r="H3381" t="n">
        <v>0</v>
      </c>
      <c r="I3381" t="n">
        <v>0</v>
      </c>
      <c r="J3381" t="n">
        <v>0</v>
      </c>
      <c r="K3381" t="n">
        <v>0</v>
      </c>
      <c r="L3381" t="n">
        <v>0</v>
      </c>
      <c r="M3381" t="n">
        <v>0</v>
      </c>
      <c r="N3381" t="n">
        <v>0</v>
      </c>
      <c r="O3381" t="n">
        <v>0</v>
      </c>
      <c r="P3381" t="n">
        <v>0</v>
      </c>
      <c r="Q3381" t="n">
        <v>0</v>
      </c>
      <c r="R3381" s="2" t="inlineStr"/>
    </row>
    <row r="3382" ht="15" customHeight="1">
      <c r="A3382" t="inlineStr">
        <is>
          <t>A 11729-2024</t>
        </is>
      </c>
      <c r="B3382" s="1" t="n">
        <v>45373.68430555556</v>
      </c>
      <c r="C3382" s="1" t="n">
        <v>46011</v>
      </c>
      <c r="D3382" t="inlineStr">
        <is>
          <t>VÄSTRA GÖTALANDS LÄN</t>
        </is>
      </c>
      <c r="E3382" t="inlineStr">
        <is>
          <t>MARIESTAD</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11788-2024</t>
        </is>
      </c>
      <c r="B3383" s="1" t="n">
        <v>45374</v>
      </c>
      <c r="C3383" s="1" t="n">
        <v>46011</v>
      </c>
      <c r="D3383" t="inlineStr">
        <is>
          <t>VÄSTRA GÖTALANDS LÄN</t>
        </is>
      </c>
      <c r="E3383" t="inlineStr">
        <is>
          <t>UDDEVALLA</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46371-2022</t>
        </is>
      </c>
      <c r="B3384" s="1" t="n">
        <v>44848</v>
      </c>
      <c r="C3384" s="1" t="n">
        <v>46011</v>
      </c>
      <c r="D3384" t="inlineStr">
        <is>
          <t>VÄSTRA GÖTALANDS LÄN</t>
        </is>
      </c>
      <c r="E3384" t="inlineStr">
        <is>
          <t>STRÖMSTAD</t>
        </is>
      </c>
      <c r="F3384" t="inlineStr">
        <is>
          <t>Kommuner</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14522-2024</t>
        </is>
      </c>
      <c r="B3385" s="1" t="n">
        <v>45394.62971064815</v>
      </c>
      <c r="C3385" s="1" t="n">
        <v>46011</v>
      </c>
      <c r="D3385" t="inlineStr">
        <is>
          <t>VÄSTRA GÖTALANDS LÄN</t>
        </is>
      </c>
      <c r="E3385" t="inlineStr">
        <is>
          <t>KARLSBORG</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42239-2024</t>
        </is>
      </c>
      <c r="B3386" s="1" t="n">
        <v>45562.56358796296</v>
      </c>
      <c r="C3386" s="1" t="n">
        <v>46011</v>
      </c>
      <c r="D3386" t="inlineStr">
        <is>
          <t>VÄSTRA GÖTALANDS LÄN</t>
        </is>
      </c>
      <c r="E3386" t="inlineStr">
        <is>
          <t>STRÖMSTAD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1995-2024</t>
        </is>
      </c>
      <c r="B3387" s="1" t="n">
        <v>45308</v>
      </c>
      <c r="C3387" s="1" t="n">
        <v>46011</v>
      </c>
      <c r="D3387" t="inlineStr">
        <is>
          <t>VÄSTRA GÖTALANDS LÄN</t>
        </is>
      </c>
      <c r="E3387" t="inlineStr">
        <is>
          <t>KUNGÄLV</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19093-2024</t>
        </is>
      </c>
      <c r="B3388" s="1" t="n">
        <v>45428.28443287037</v>
      </c>
      <c r="C3388" s="1" t="n">
        <v>46011</v>
      </c>
      <c r="D3388" t="inlineStr">
        <is>
          <t>VÄSTRA GÖTALANDS LÄN</t>
        </is>
      </c>
      <c r="E3388" t="inlineStr">
        <is>
          <t>ULRICEHAMN</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447-2024</t>
        </is>
      </c>
      <c r="B3389" s="1" t="n">
        <v>45296</v>
      </c>
      <c r="C3389" s="1" t="n">
        <v>46011</v>
      </c>
      <c r="D3389" t="inlineStr">
        <is>
          <t>VÄSTRA GÖTALANDS LÄN</t>
        </is>
      </c>
      <c r="E3389" t="inlineStr">
        <is>
          <t>MUNKEDAL</t>
        </is>
      </c>
      <c r="F3389" t="inlineStr">
        <is>
          <t>Kyrkan</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19171-2024</t>
        </is>
      </c>
      <c r="B3390" s="1" t="n">
        <v>45428.46391203703</v>
      </c>
      <c r="C3390" s="1" t="n">
        <v>46011</v>
      </c>
      <c r="D3390" t="inlineStr">
        <is>
          <t>VÄSTRA GÖTALANDS LÄN</t>
        </is>
      </c>
      <c r="E3390" t="inlineStr">
        <is>
          <t>DALS-ED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565-2024</t>
        </is>
      </c>
      <c r="B3391" s="1" t="n">
        <v>45299</v>
      </c>
      <c r="C3391" s="1" t="n">
        <v>46011</v>
      </c>
      <c r="D3391" t="inlineStr">
        <is>
          <t>VÄSTRA GÖTALANDS LÄN</t>
        </is>
      </c>
      <c r="E3391" t="inlineStr">
        <is>
          <t>SKÖVDE</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27203-2024</t>
        </is>
      </c>
      <c r="B3392" s="1" t="n">
        <v>45471.60870370371</v>
      </c>
      <c r="C3392" s="1" t="n">
        <v>46011</v>
      </c>
      <c r="D3392" t="inlineStr">
        <is>
          <t>VÄSTRA GÖTALANDS LÄN</t>
        </is>
      </c>
      <c r="E3392" t="inlineStr">
        <is>
          <t>MARK</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46637-2022</t>
        </is>
      </c>
      <c r="B3393" s="1" t="n">
        <v>44849.57127314815</v>
      </c>
      <c r="C3393" s="1" t="n">
        <v>46011</v>
      </c>
      <c r="D3393" t="inlineStr">
        <is>
          <t>VÄSTRA GÖTALANDS LÄN</t>
        </is>
      </c>
      <c r="E3393" t="inlineStr">
        <is>
          <t>SVENLJUNGA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11912-2024</t>
        </is>
      </c>
      <c r="B3394" s="1" t="n">
        <v>45376.58174768519</v>
      </c>
      <c r="C3394" s="1" t="n">
        <v>46011</v>
      </c>
      <c r="D3394" t="inlineStr">
        <is>
          <t>VÄSTRA GÖTALANDS LÄN</t>
        </is>
      </c>
      <c r="E3394" t="inlineStr">
        <is>
          <t>MARK</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49309-2024</t>
        </is>
      </c>
      <c r="B3395" s="1" t="n">
        <v>45595</v>
      </c>
      <c r="C3395" s="1" t="n">
        <v>46011</v>
      </c>
      <c r="D3395" t="inlineStr">
        <is>
          <t>VÄSTRA GÖTALANDS LÄN</t>
        </is>
      </c>
      <c r="E3395" t="inlineStr">
        <is>
          <t>TANUM</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54459-2022</t>
        </is>
      </c>
      <c r="B3396" s="1" t="n">
        <v>44882</v>
      </c>
      <c r="C3396" s="1" t="n">
        <v>46011</v>
      </c>
      <c r="D3396" t="inlineStr">
        <is>
          <t>VÄSTRA GÖTALANDS LÄN</t>
        </is>
      </c>
      <c r="E3396" t="inlineStr">
        <is>
          <t>TRANEMO</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55349-2022</t>
        </is>
      </c>
      <c r="B3397" s="1" t="n">
        <v>44887</v>
      </c>
      <c r="C3397" s="1" t="n">
        <v>46011</v>
      </c>
      <c r="D3397" t="inlineStr">
        <is>
          <t>VÄSTRA GÖTALANDS LÄN</t>
        </is>
      </c>
      <c r="E3397" t="inlineStr">
        <is>
          <t>TRANEMO</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56541-2023</t>
        </is>
      </c>
      <c r="B3398" s="1" t="n">
        <v>45243.57956018519</v>
      </c>
      <c r="C3398" s="1" t="n">
        <v>46011</v>
      </c>
      <c r="D3398" t="inlineStr">
        <is>
          <t>VÄSTRA GÖTALANDS LÄN</t>
        </is>
      </c>
      <c r="E3398" t="inlineStr">
        <is>
          <t>KARLSBORG</t>
        </is>
      </c>
      <c r="F3398" t="inlineStr">
        <is>
          <t>Sveaskog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1122-2024</t>
        </is>
      </c>
      <c r="B3399" s="1" t="n">
        <v>45302</v>
      </c>
      <c r="C3399" s="1" t="n">
        <v>46011</v>
      </c>
      <c r="D3399" t="inlineStr">
        <is>
          <t>VÄSTRA GÖTALANDS LÄN</t>
        </is>
      </c>
      <c r="E3399" t="inlineStr">
        <is>
          <t>BENGTSFORS</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54277-2022</t>
        </is>
      </c>
      <c r="B3400" s="1" t="n">
        <v>44882</v>
      </c>
      <c r="C3400" s="1" t="n">
        <v>46011</v>
      </c>
      <c r="D3400" t="inlineStr">
        <is>
          <t>VÄSTRA GÖTALANDS LÄN</t>
        </is>
      </c>
      <c r="E3400" t="inlineStr">
        <is>
          <t>MARK</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24107-2024</t>
        </is>
      </c>
      <c r="B3401" s="1" t="n">
        <v>45456</v>
      </c>
      <c r="C3401" s="1" t="n">
        <v>46011</v>
      </c>
      <c r="D3401" t="inlineStr">
        <is>
          <t>VÄSTRA GÖTALANDS LÄN</t>
        </is>
      </c>
      <c r="E3401" t="inlineStr">
        <is>
          <t>VÄNERSBORG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54374-2022</t>
        </is>
      </c>
      <c r="B3402" s="1" t="n">
        <v>44879</v>
      </c>
      <c r="C3402" s="1" t="n">
        <v>46011</v>
      </c>
      <c r="D3402" t="inlineStr">
        <is>
          <t>VÄSTRA GÖTALANDS LÄN</t>
        </is>
      </c>
      <c r="E3402" t="inlineStr">
        <is>
          <t>STRÖMSTAD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24514-2024</t>
        </is>
      </c>
      <c r="B3403" s="1" t="n">
        <v>45458</v>
      </c>
      <c r="C3403" s="1" t="n">
        <v>46011</v>
      </c>
      <c r="D3403" t="inlineStr">
        <is>
          <t>VÄSTRA GÖTALANDS LÄN</t>
        </is>
      </c>
      <c r="E3403" t="inlineStr">
        <is>
          <t>STRÖMSTAD</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24544-2024</t>
        </is>
      </c>
      <c r="B3404" s="1" t="n">
        <v>45460.3953125</v>
      </c>
      <c r="C3404" s="1" t="n">
        <v>46011</v>
      </c>
      <c r="D3404" t="inlineStr">
        <is>
          <t>VÄSTRA GÖTALANDS LÄN</t>
        </is>
      </c>
      <c r="E3404" t="inlineStr">
        <is>
          <t>TÖREBODA</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23078-2024</t>
        </is>
      </c>
      <c r="B3405" s="1" t="n">
        <v>45450.49150462963</v>
      </c>
      <c r="C3405" s="1" t="n">
        <v>46011</v>
      </c>
      <c r="D3405" t="inlineStr">
        <is>
          <t>VÄSTRA GÖTALANDS LÄN</t>
        </is>
      </c>
      <c r="E3405" t="inlineStr">
        <is>
          <t>MARK</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47960-2022</t>
        </is>
      </c>
      <c r="B3406" s="1" t="n">
        <v>44855</v>
      </c>
      <c r="C3406" s="1" t="n">
        <v>46011</v>
      </c>
      <c r="D3406" t="inlineStr">
        <is>
          <t>VÄSTRA GÖTALANDS LÄN</t>
        </is>
      </c>
      <c r="E3406" t="inlineStr">
        <is>
          <t>ALINGSÅS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41521-2022</t>
        </is>
      </c>
      <c r="B3407" s="1" t="n">
        <v>44827.34412037037</v>
      </c>
      <c r="C3407" s="1" t="n">
        <v>46011</v>
      </c>
      <c r="D3407" t="inlineStr">
        <is>
          <t>VÄSTRA GÖTALANDS LÄN</t>
        </is>
      </c>
      <c r="E3407" t="inlineStr">
        <is>
          <t>BENGTSFORS</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54400-2022</t>
        </is>
      </c>
      <c r="B3408" s="1" t="n">
        <v>44882.53457175926</v>
      </c>
      <c r="C3408" s="1" t="n">
        <v>46011</v>
      </c>
      <c r="D3408" t="inlineStr">
        <is>
          <t>VÄSTRA GÖTALANDS LÄN</t>
        </is>
      </c>
      <c r="E3408" t="inlineStr">
        <is>
          <t>TRANEMO</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20123-2025</t>
        </is>
      </c>
      <c r="B3409" s="1" t="n">
        <v>45772.49256944445</v>
      </c>
      <c r="C3409" s="1" t="n">
        <v>46011</v>
      </c>
      <c r="D3409" t="inlineStr">
        <is>
          <t>VÄSTRA GÖTALANDS LÄN</t>
        </is>
      </c>
      <c r="E3409" t="inlineStr">
        <is>
          <t>ALINGSÅS</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55840-2023</t>
        </is>
      </c>
      <c r="B3410" s="1" t="n">
        <v>45239</v>
      </c>
      <c r="C3410" s="1" t="n">
        <v>46011</v>
      </c>
      <c r="D3410" t="inlineStr">
        <is>
          <t>VÄSTRA GÖTALANDS LÄN</t>
        </is>
      </c>
      <c r="E3410" t="inlineStr">
        <is>
          <t>FÄRGELANDA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34659-2021</t>
        </is>
      </c>
      <c r="B3411" s="1" t="n">
        <v>44382.57646990741</v>
      </c>
      <c r="C3411" s="1" t="n">
        <v>46011</v>
      </c>
      <c r="D3411" t="inlineStr">
        <is>
          <t>VÄSTRA GÖTALANDS LÄN</t>
        </is>
      </c>
      <c r="E3411" t="inlineStr">
        <is>
          <t>GULLSPÅNG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55842-2023</t>
        </is>
      </c>
      <c r="B3412" s="1" t="n">
        <v>45233</v>
      </c>
      <c r="C3412" s="1" t="n">
        <v>46011</v>
      </c>
      <c r="D3412" t="inlineStr">
        <is>
          <t>VÄSTRA GÖTALANDS LÄN</t>
        </is>
      </c>
      <c r="E3412" t="inlineStr">
        <is>
          <t>MARK</t>
        </is>
      </c>
      <c r="F3412" t="inlineStr">
        <is>
          <t>Sveaskog</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40588-2022</t>
        </is>
      </c>
      <c r="B3413" s="1" t="n">
        <v>44823.76302083334</v>
      </c>
      <c r="C3413" s="1" t="n">
        <v>46011</v>
      </c>
      <c r="D3413" t="inlineStr">
        <is>
          <t>VÄSTRA GÖTALANDS LÄN</t>
        </is>
      </c>
      <c r="E3413" t="inlineStr">
        <is>
          <t>FALKÖPING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40589-2022</t>
        </is>
      </c>
      <c r="B3414" s="1" t="n">
        <v>44823</v>
      </c>
      <c r="C3414" s="1" t="n">
        <v>46011</v>
      </c>
      <c r="D3414" t="inlineStr">
        <is>
          <t>VÄSTRA GÖTALANDS LÄN</t>
        </is>
      </c>
      <c r="E3414" t="inlineStr">
        <is>
          <t>FALKÖPING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58480-2022</t>
        </is>
      </c>
      <c r="B3415" s="1" t="n">
        <v>44902</v>
      </c>
      <c r="C3415" s="1" t="n">
        <v>46011</v>
      </c>
      <c r="D3415" t="inlineStr">
        <is>
          <t>VÄSTRA GÖTALANDS LÄN</t>
        </is>
      </c>
      <c r="E3415" t="inlineStr">
        <is>
          <t>SVENLJUNGA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47860-2022</t>
        </is>
      </c>
      <c r="B3416" s="1" t="n">
        <v>44855.41949074074</v>
      </c>
      <c r="C3416" s="1" t="n">
        <v>46011</v>
      </c>
      <c r="D3416" t="inlineStr">
        <is>
          <t>VÄSTRA GÖTALANDS LÄN</t>
        </is>
      </c>
      <c r="E3416" t="inlineStr">
        <is>
          <t>SVENLJUNGA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34760-2021</t>
        </is>
      </c>
      <c r="B3417" s="1" t="n">
        <v>44382</v>
      </c>
      <c r="C3417" s="1" t="n">
        <v>46011</v>
      </c>
      <c r="D3417" t="inlineStr">
        <is>
          <t>VÄSTRA GÖTALANDS LÄN</t>
        </is>
      </c>
      <c r="E3417" t="inlineStr">
        <is>
          <t>DALS-ED</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34422-2021</t>
        </is>
      </c>
      <c r="B3418" s="1" t="n">
        <v>44380</v>
      </c>
      <c r="C3418" s="1" t="n">
        <v>46011</v>
      </c>
      <c r="D3418" t="inlineStr">
        <is>
          <t>VÄSTRA GÖTALANDS LÄN</t>
        </is>
      </c>
      <c r="E3418" t="inlineStr">
        <is>
          <t>HERRLJUNGA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20137-2025</t>
        </is>
      </c>
      <c r="B3419" s="1" t="n">
        <v>45772.51366898148</v>
      </c>
      <c r="C3419" s="1" t="n">
        <v>46011</v>
      </c>
      <c r="D3419" t="inlineStr">
        <is>
          <t>VÄSTRA GÖTALANDS LÄN</t>
        </is>
      </c>
      <c r="E3419" t="inlineStr">
        <is>
          <t>UDDEVALLA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17111-2025</t>
        </is>
      </c>
      <c r="B3420" s="1" t="n">
        <v>45755</v>
      </c>
      <c r="C3420" s="1" t="n">
        <v>46011</v>
      </c>
      <c r="D3420" t="inlineStr">
        <is>
          <t>VÄSTRA GÖTALANDS LÄN</t>
        </is>
      </c>
      <c r="E3420" t="inlineStr">
        <is>
          <t>BORÅS</t>
        </is>
      </c>
      <c r="F3420" t="inlineStr">
        <is>
          <t>Kommuner</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61284-2022</t>
        </is>
      </c>
      <c r="B3421" s="1" t="n">
        <v>44915</v>
      </c>
      <c r="C3421" s="1" t="n">
        <v>46011</v>
      </c>
      <c r="D3421" t="inlineStr">
        <is>
          <t>VÄSTRA GÖTALANDS LÄN</t>
        </is>
      </c>
      <c r="E3421" t="inlineStr">
        <is>
          <t>LILLA EDET</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17136-2025</t>
        </is>
      </c>
      <c r="B3422" s="1" t="n">
        <v>45755</v>
      </c>
      <c r="C3422" s="1" t="n">
        <v>46011</v>
      </c>
      <c r="D3422" t="inlineStr">
        <is>
          <t>VÄSTRA GÖTALANDS LÄN</t>
        </is>
      </c>
      <c r="E3422" t="inlineStr">
        <is>
          <t>MUNKEDAL</t>
        </is>
      </c>
      <c r="F3422" t="inlineStr">
        <is>
          <t>Övriga Aktiebolag</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15236-2024</t>
        </is>
      </c>
      <c r="B3423" s="1" t="n">
        <v>45400</v>
      </c>
      <c r="C3423" s="1" t="n">
        <v>46011</v>
      </c>
      <c r="D3423" t="inlineStr">
        <is>
          <t>VÄSTRA GÖTALANDS LÄN</t>
        </is>
      </c>
      <c r="E3423" t="inlineStr">
        <is>
          <t>VÅRGÅRDA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39206-2024</t>
        </is>
      </c>
      <c r="B3424" s="1" t="n">
        <v>45548.81200231481</v>
      </c>
      <c r="C3424" s="1" t="n">
        <v>46011</v>
      </c>
      <c r="D3424" t="inlineStr">
        <is>
          <t>VÄSTRA GÖTALANDS LÄN</t>
        </is>
      </c>
      <c r="E3424" t="inlineStr">
        <is>
          <t>ORUST</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27399-2024</t>
        </is>
      </c>
      <c r="B3425" s="1" t="n">
        <v>45474.34578703704</v>
      </c>
      <c r="C3425" s="1" t="n">
        <v>46011</v>
      </c>
      <c r="D3425" t="inlineStr">
        <is>
          <t>VÄSTRA GÖTALANDS LÄN</t>
        </is>
      </c>
      <c r="E3425" t="inlineStr">
        <is>
          <t>ULRICEHAMN</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17187-2025</t>
        </is>
      </c>
      <c r="B3426" s="1" t="n">
        <v>45756.38744212963</v>
      </c>
      <c r="C3426" s="1" t="n">
        <v>46011</v>
      </c>
      <c r="D3426" t="inlineStr">
        <is>
          <t>VÄSTRA GÖTALANDS LÄN</t>
        </is>
      </c>
      <c r="E3426" t="inlineStr">
        <is>
          <t>TÖREBODA</t>
        </is>
      </c>
      <c r="F3426" t="inlineStr">
        <is>
          <t>Sveaskog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17195-2025</t>
        </is>
      </c>
      <c r="B3427" s="1" t="n">
        <v>45756.40695601852</v>
      </c>
      <c r="C3427" s="1" t="n">
        <v>46011</v>
      </c>
      <c r="D3427" t="inlineStr">
        <is>
          <t>VÄSTRA GÖTALANDS LÄN</t>
        </is>
      </c>
      <c r="E3427" t="inlineStr">
        <is>
          <t>VÅRGÅRDA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26248-2024</t>
        </is>
      </c>
      <c r="B3428" s="1" t="n">
        <v>45468.64033564815</v>
      </c>
      <c r="C3428" s="1" t="n">
        <v>46011</v>
      </c>
      <c r="D3428" t="inlineStr">
        <is>
          <t>VÄSTRA GÖTALANDS LÄN</t>
        </is>
      </c>
      <c r="E3428" t="inlineStr">
        <is>
          <t>HJO</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52352-2023</t>
        </is>
      </c>
      <c r="B3429" s="1" t="n">
        <v>45224.68096064815</v>
      </c>
      <c r="C3429" s="1" t="n">
        <v>46011</v>
      </c>
      <c r="D3429" t="inlineStr">
        <is>
          <t>VÄSTRA GÖTALANDS LÄN</t>
        </is>
      </c>
      <c r="E3429" t="inlineStr">
        <is>
          <t>GÖTENE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26943-2023</t>
        </is>
      </c>
      <c r="B3430" s="1" t="n">
        <v>45093</v>
      </c>
      <c r="C3430" s="1" t="n">
        <v>46011</v>
      </c>
      <c r="D3430" t="inlineStr">
        <is>
          <t>VÄSTRA GÖTALANDS LÄN</t>
        </is>
      </c>
      <c r="E3430" t="inlineStr">
        <is>
          <t>MARK</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13139-2024</t>
        </is>
      </c>
      <c r="B3431" s="1" t="n">
        <v>45386.34435185185</v>
      </c>
      <c r="C3431" s="1" t="n">
        <v>46011</v>
      </c>
      <c r="D3431" t="inlineStr">
        <is>
          <t>VÄSTRA GÖTALANDS LÄN</t>
        </is>
      </c>
      <c r="E3431" t="inlineStr">
        <is>
          <t>SVENLJUNGA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18769-2021</t>
        </is>
      </c>
      <c r="B3432" s="1" t="n">
        <v>44307</v>
      </c>
      <c r="C3432" s="1" t="n">
        <v>46011</v>
      </c>
      <c r="D3432" t="inlineStr">
        <is>
          <t>VÄSTRA GÖTALANDS LÄN</t>
        </is>
      </c>
      <c r="E3432" t="inlineStr">
        <is>
          <t>MELLERUD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11680-2024</t>
        </is>
      </c>
      <c r="B3433" s="1" t="n">
        <v>45373</v>
      </c>
      <c r="C3433" s="1" t="n">
        <v>46011</v>
      </c>
      <c r="D3433" t="inlineStr">
        <is>
          <t>VÄSTRA GÖTALANDS LÄN</t>
        </is>
      </c>
      <c r="E3433" t="inlineStr">
        <is>
          <t>TÖREBODA</t>
        </is>
      </c>
      <c r="G3433" t="n">
        <v>12.3</v>
      </c>
      <c r="H3433" t="n">
        <v>0</v>
      </c>
      <c r="I3433" t="n">
        <v>0</v>
      </c>
      <c r="J3433" t="n">
        <v>0</v>
      </c>
      <c r="K3433" t="n">
        <v>0</v>
      </c>
      <c r="L3433" t="n">
        <v>0</v>
      </c>
      <c r="M3433" t="n">
        <v>0</v>
      </c>
      <c r="N3433" t="n">
        <v>0</v>
      </c>
      <c r="O3433" t="n">
        <v>0</v>
      </c>
      <c r="P3433" t="n">
        <v>0</v>
      </c>
      <c r="Q3433" t="n">
        <v>0</v>
      </c>
      <c r="R3433" s="2" t="inlineStr"/>
    </row>
    <row r="3434" ht="15" customHeight="1">
      <c r="A3434" t="inlineStr">
        <is>
          <t>A 40778-2024</t>
        </is>
      </c>
      <c r="B3434" s="1" t="n">
        <v>45558.49034722222</v>
      </c>
      <c r="C3434" s="1" t="n">
        <v>46011</v>
      </c>
      <c r="D3434" t="inlineStr">
        <is>
          <t>VÄSTRA GÖTALANDS LÄN</t>
        </is>
      </c>
      <c r="E3434" t="inlineStr">
        <is>
          <t>FÄRGELANDA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12334-2024</t>
        </is>
      </c>
      <c r="B3435" s="1" t="n">
        <v>45378.69398148148</v>
      </c>
      <c r="C3435" s="1" t="n">
        <v>46011</v>
      </c>
      <c r="D3435" t="inlineStr">
        <is>
          <t>VÄSTRA GÖTALANDS LÄN</t>
        </is>
      </c>
      <c r="E3435" t="inlineStr">
        <is>
          <t>MELLERUD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952-2024</t>
        </is>
      </c>
      <c r="B3436" s="1" t="n">
        <v>45301</v>
      </c>
      <c r="C3436" s="1" t="n">
        <v>46011</v>
      </c>
      <c r="D3436" t="inlineStr">
        <is>
          <t>VÄSTRA GÖTALANDS LÄN</t>
        </is>
      </c>
      <c r="E3436" t="inlineStr">
        <is>
          <t>SKÖVDE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38114-2022</t>
        </is>
      </c>
      <c r="B3437" s="1" t="n">
        <v>44812.31384259259</v>
      </c>
      <c r="C3437" s="1" t="n">
        <v>46011</v>
      </c>
      <c r="D3437" t="inlineStr">
        <is>
          <t>VÄSTRA GÖTALANDS LÄN</t>
        </is>
      </c>
      <c r="E3437" t="inlineStr">
        <is>
          <t>MARIESTAD</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14798-2024</t>
        </is>
      </c>
      <c r="B3438" s="1" t="n">
        <v>45397.90431712963</v>
      </c>
      <c r="C3438" s="1" t="n">
        <v>46011</v>
      </c>
      <c r="D3438" t="inlineStr">
        <is>
          <t>VÄSTRA GÖTALANDS LÄN</t>
        </is>
      </c>
      <c r="E3438" t="inlineStr">
        <is>
          <t>VÄNERSBORG</t>
        </is>
      </c>
      <c r="F3438" t="inlineStr">
        <is>
          <t>Sveaskog</t>
        </is>
      </c>
      <c r="G3438" t="n">
        <v>2.8</v>
      </c>
      <c r="H3438" t="n">
        <v>0</v>
      </c>
      <c r="I3438" t="n">
        <v>0</v>
      </c>
      <c r="J3438" t="n">
        <v>0</v>
      </c>
      <c r="K3438" t="n">
        <v>0</v>
      </c>
      <c r="L3438" t="n">
        <v>0</v>
      </c>
      <c r="M3438" t="n">
        <v>0</v>
      </c>
      <c r="N3438" t="n">
        <v>0</v>
      </c>
      <c r="O3438" t="n">
        <v>0</v>
      </c>
      <c r="P3438" t="n">
        <v>0</v>
      </c>
      <c r="Q3438" t="n">
        <v>0</v>
      </c>
      <c r="R3438" s="2" t="inlineStr"/>
      <c r="U3438">
        <f>HYPERLINK("https://klasma.github.io/Logging_1487/knärot/A 14798-2024 karta knärot.png", "A 14798-2024")</f>
        <v/>
      </c>
      <c r="V3438">
        <f>HYPERLINK("https://klasma.github.io/Logging_1487/klagomål/A 14798-2024 FSC-klagomål.docx", "A 14798-2024")</f>
        <v/>
      </c>
      <c r="W3438">
        <f>HYPERLINK("https://klasma.github.io/Logging_1487/klagomålsmail/A 14798-2024 FSC-klagomål mail.docx", "A 14798-2024")</f>
        <v/>
      </c>
      <c r="X3438">
        <f>HYPERLINK("https://klasma.github.io/Logging_1487/tillsyn/A 14798-2024 tillsynsbegäran.docx", "A 14798-2024")</f>
        <v/>
      </c>
      <c r="Y3438">
        <f>HYPERLINK("https://klasma.github.io/Logging_1487/tillsynsmail/A 14798-2024 tillsynsbegäran mail.docx", "A 14798-2024")</f>
        <v/>
      </c>
    </row>
    <row r="3439" ht="15" customHeight="1">
      <c r="A3439" t="inlineStr">
        <is>
          <t>A 30170-2022</t>
        </is>
      </c>
      <c r="B3439" s="1" t="n">
        <v>44757</v>
      </c>
      <c r="C3439" s="1" t="n">
        <v>46011</v>
      </c>
      <c r="D3439" t="inlineStr">
        <is>
          <t>VÄSTRA GÖTALANDS LÄN</t>
        </is>
      </c>
      <c r="E3439" t="inlineStr">
        <is>
          <t>KUNGÄLV</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52431-2023</t>
        </is>
      </c>
      <c r="B3440" s="1" t="n">
        <v>45225.33118055556</v>
      </c>
      <c r="C3440" s="1" t="n">
        <v>46011</v>
      </c>
      <c r="D3440" t="inlineStr">
        <is>
          <t>VÄSTRA GÖTALANDS LÄN</t>
        </is>
      </c>
      <c r="E3440" t="inlineStr">
        <is>
          <t>LILLA EDET</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59225-2023</t>
        </is>
      </c>
      <c r="B3441" s="1" t="n">
        <v>45253</v>
      </c>
      <c r="C3441" s="1" t="n">
        <v>46011</v>
      </c>
      <c r="D3441" t="inlineStr">
        <is>
          <t>VÄSTRA GÖTALANDS LÄN</t>
        </is>
      </c>
      <c r="E3441" t="inlineStr">
        <is>
          <t>VÅRGÅRDA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15661-2025</t>
        </is>
      </c>
      <c r="B3442" s="1" t="n">
        <v>45748.42809027778</v>
      </c>
      <c r="C3442" s="1" t="n">
        <v>46011</v>
      </c>
      <c r="D3442" t="inlineStr">
        <is>
          <t>VÄSTRA GÖTALANDS LÄN</t>
        </is>
      </c>
      <c r="E3442" t="inlineStr">
        <is>
          <t>BENGTSFORS</t>
        </is>
      </c>
      <c r="F3442" t="inlineStr">
        <is>
          <t>Kommuner</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21864-2024</t>
        </is>
      </c>
      <c r="B3443" s="1" t="n">
        <v>45443</v>
      </c>
      <c r="C3443" s="1" t="n">
        <v>46011</v>
      </c>
      <c r="D3443" t="inlineStr">
        <is>
          <t>VÄSTRA GÖTALANDS LÄN</t>
        </is>
      </c>
      <c r="E3443" t="inlineStr">
        <is>
          <t>DALS-ED</t>
        </is>
      </c>
      <c r="F3443" t="inlineStr">
        <is>
          <t>Kyrkan</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12600-2024</t>
        </is>
      </c>
      <c r="B3444" s="1" t="n">
        <v>45380.80784722222</v>
      </c>
      <c r="C3444" s="1" t="n">
        <v>46011</v>
      </c>
      <c r="D3444" t="inlineStr">
        <is>
          <t>VÄSTRA GÖTALANDS LÄN</t>
        </is>
      </c>
      <c r="E3444" t="inlineStr">
        <is>
          <t>ALINGSÅS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12610-2024</t>
        </is>
      </c>
      <c r="B3445" s="1" t="n">
        <v>45382.87498842592</v>
      </c>
      <c r="C3445" s="1" t="n">
        <v>46011</v>
      </c>
      <c r="D3445" t="inlineStr">
        <is>
          <t>VÄSTRA GÖTALANDS LÄN</t>
        </is>
      </c>
      <c r="E3445" t="inlineStr">
        <is>
          <t>VÄNERSBORG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69193-2021</t>
        </is>
      </c>
      <c r="B3446" s="1" t="n">
        <v>44531</v>
      </c>
      <c r="C3446" s="1" t="n">
        <v>46011</v>
      </c>
      <c r="D3446" t="inlineStr">
        <is>
          <t>VÄSTRA GÖTALANDS LÄN</t>
        </is>
      </c>
      <c r="E3446" t="inlineStr">
        <is>
          <t>ORUST</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21961-2024</t>
        </is>
      </c>
      <c r="B3447" s="1" t="n">
        <v>45443</v>
      </c>
      <c r="C3447" s="1" t="n">
        <v>46011</v>
      </c>
      <c r="D3447" t="inlineStr">
        <is>
          <t>VÄSTRA GÖTALANDS LÄN</t>
        </is>
      </c>
      <c r="E3447" t="inlineStr">
        <is>
          <t>FALKÖPING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21972-2024</t>
        </is>
      </c>
      <c r="B3448" s="1" t="n">
        <v>45443.52001157407</v>
      </c>
      <c r="C3448" s="1" t="n">
        <v>46011</v>
      </c>
      <c r="D3448" t="inlineStr">
        <is>
          <t>VÄSTRA GÖTALANDS LÄN</t>
        </is>
      </c>
      <c r="E3448" t="inlineStr">
        <is>
          <t>ULRICEHAMN</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31617-2021</t>
        </is>
      </c>
      <c r="B3449" s="1" t="n">
        <v>44369.58694444445</v>
      </c>
      <c r="C3449" s="1" t="n">
        <v>46011</v>
      </c>
      <c r="D3449" t="inlineStr">
        <is>
          <t>VÄSTRA GÖTALANDS LÄN</t>
        </is>
      </c>
      <c r="E3449" t="inlineStr">
        <is>
          <t>BOLLEBYGD</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24765-2024</t>
        </is>
      </c>
      <c r="B3450" s="1" t="n">
        <v>45460.6934837963</v>
      </c>
      <c r="C3450" s="1" t="n">
        <v>46011</v>
      </c>
      <c r="D3450" t="inlineStr">
        <is>
          <t>VÄSTRA GÖTALANDS LÄN</t>
        </is>
      </c>
      <c r="E3450" t="inlineStr">
        <is>
          <t>MARIESTAD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46684-2022</t>
        </is>
      </c>
      <c r="B3451" s="1" t="n">
        <v>44851.36157407407</v>
      </c>
      <c r="C3451" s="1" t="n">
        <v>46011</v>
      </c>
      <c r="D3451" t="inlineStr">
        <is>
          <t>VÄSTRA GÖTALANDS LÄN</t>
        </is>
      </c>
      <c r="E3451" t="inlineStr">
        <is>
          <t>TRANEMO</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52102-2023</t>
        </is>
      </c>
      <c r="B3452" s="1" t="n">
        <v>45223</v>
      </c>
      <c r="C3452" s="1" t="n">
        <v>46011</v>
      </c>
      <c r="D3452" t="inlineStr">
        <is>
          <t>VÄSTRA GÖTALANDS LÄN</t>
        </is>
      </c>
      <c r="E3452" t="inlineStr">
        <is>
          <t>BOLLEBYGD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37866-2021</t>
        </is>
      </c>
      <c r="B3453" s="1" t="n">
        <v>44403.4725462963</v>
      </c>
      <c r="C3453" s="1" t="n">
        <v>46011</v>
      </c>
      <c r="D3453" t="inlineStr">
        <is>
          <t>VÄSTRA GÖTALANDS LÄN</t>
        </is>
      </c>
      <c r="E3453" t="inlineStr">
        <is>
          <t>STENUNGSUND</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43021-2021</t>
        </is>
      </c>
      <c r="B3454" s="1" t="n">
        <v>44431.48305555555</v>
      </c>
      <c r="C3454" s="1" t="n">
        <v>46011</v>
      </c>
      <c r="D3454" t="inlineStr">
        <is>
          <t>VÄSTRA GÖTALANDS LÄN</t>
        </is>
      </c>
      <c r="E3454" t="inlineStr">
        <is>
          <t>KARLSBORG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37286-2022</t>
        </is>
      </c>
      <c r="B3455" s="1" t="n">
        <v>44808</v>
      </c>
      <c r="C3455" s="1" t="n">
        <v>46011</v>
      </c>
      <c r="D3455" t="inlineStr">
        <is>
          <t>VÄSTRA GÖTALANDS LÄN</t>
        </is>
      </c>
      <c r="E3455" t="inlineStr">
        <is>
          <t>GRÄSTORP</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14223-2024</t>
        </is>
      </c>
      <c r="B3456" s="1" t="n">
        <v>45393.46190972222</v>
      </c>
      <c r="C3456" s="1" t="n">
        <v>46011</v>
      </c>
      <c r="D3456" t="inlineStr">
        <is>
          <t>VÄSTRA GÖTALANDS LÄN</t>
        </is>
      </c>
      <c r="E3456" t="inlineStr">
        <is>
          <t>ESSUNGA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37358-2022</t>
        </is>
      </c>
      <c r="B3457" s="1" t="n">
        <v>44809.38440972222</v>
      </c>
      <c r="C3457" s="1" t="n">
        <v>46011</v>
      </c>
      <c r="D3457" t="inlineStr">
        <is>
          <t>VÄSTRA GÖTALANDS LÄN</t>
        </is>
      </c>
      <c r="E3457" t="inlineStr">
        <is>
          <t>ULRICEHAMN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22048-2024</t>
        </is>
      </c>
      <c r="B3458" s="1" t="n">
        <v>45443</v>
      </c>
      <c r="C3458" s="1" t="n">
        <v>46011</v>
      </c>
      <c r="D3458" t="inlineStr">
        <is>
          <t>VÄSTRA GÖTALANDS LÄN</t>
        </is>
      </c>
      <c r="E3458" t="inlineStr">
        <is>
          <t>TÖREBODA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34380-2022</t>
        </is>
      </c>
      <c r="B3459" s="1" t="n">
        <v>44792</v>
      </c>
      <c r="C3459" s="1" t="n">
        <v>46011</v>
      </c>
      <c r="D3459" t="inlineStr">
        <is>
          <t>VÄSTRA GÖTALANDS LÄN</t>
        </is>
      </c>
      <c r="E3459" t="inlineStr">
        <is>
          <t>ORUST</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14267-2024</t>
        </is>
      </c>
      <c r="B3460" s="1" t="n">
        <v>45393.57178240741</v>
      </c>
      <c r="C3460" s="1" t="n">
        <v>46011</v>
      </c>
      <c r="D3460" t="inlineStr">
        <is>
          <t>VÄSTRA GÖTALANDS LÄN</t>
        </is>
      </c>
      <c r="E3460" t="inlineStr">
        <is>
          <t>GULLSPÅNG</t>
        </is>
      </c>
      <c r="F3460" t="inlineStr">
        <is>
          <t>Kommuner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14291-2024</t>
        </is>
      </c>
      <c r="B3461" s="1" t="n">
        <v>45393.63282407408</v>
      </c>
      <c r="C3461" s="1" t="n">
        <v>46011</v>
      </c>
      <c r="D3461" t="inlineStr">
        <is>
          <t>VÄSTRA GÖTALANDS LÄN</t>
        </is>
      </c>
      <c r="E3461" t="inlineStr">
        <is>
          <t>MARIESTAD</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13181-2024</t>
        </is>
      </c>
      <c r="B3462" s="1" t="n">
        <v>45386.43416666667</v>
      </c>
      <c r="C3462" s="1" t="n">
        <v>46011</v>
      </c>
      <c r="D3462" t="inlineStr">
        <is>
          <t>VÄSTRA GÖTALANDS LÄN</t>
        </is>
      </c>
      <c r="E3462" t="inlineStr">
        <is>
          <t>MARK</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22167-2024</t>
        </is>
      </c>
      <c r="B3463" s="1" t="n">
        <v>45446.24280092592</v>
      </c>
      <c r="C3463" s="1" t="n">
        <v>46011</v>
      </c>
      <c r="D3463" t="inlineStr">
        <is>
          <t>VÄSTRA GÖTALANDS LÄN</t>
        </is>
      </c>
      <c r="E3463" t="inlineStr">
        <is>
          <t>GRÄSTORP</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14309-2024</t>
        </is>
      </c>
      <c r="B3464" s="1" t="n">
        <v>45393.66581018519</v>
      </c>
      <c r="C3464" s="1" t="n">
        <v>46011</v>
      </c>
      <c r="D3464" t="inlineStr">
        <is>
          <t>VÄSTRA GÖTALANDS LÄN</t>
        </is>
      </c>
      <c r="E3464" t="inlineStr">
        <is>
          <t>GULLSPÅNG</t>
        </is>
      </c>
      <c r="F3464" t="inlineStr">
        <is>
          <t>Kommuner</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58529-2022</t>
        </is>
      </c>
      <c r="B3465" s="1" t="n">
        <v>44902.43875</v>
      </c>
      <c r="C3465" s="1" t="n">
        <v>46011</v>
      </c>
      <c r="D3465" t="inlineStr">
        <is>
          <t>VÄSTRA GÖTALANDS LÄN</t>
        </is>
      </c>
      <c r="E3465" t="inlineStr">
        <is>
          <t>MARK</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45483-2021</t>
        </is>
      </c>
      <c r="B3466" s="1" t="n">
        <v>44440.48633101852</v>
      </c>
      <c r="C3466" s="1" t="n">
        <v>46011</v>
      </c>
      <c r="D3466" t="inlineStr">
        <is>
          <t>VÄSTRA GÖTALANDS LÄN</t>
        </is>
      </c>
      <c r="E3466" t="inlineStr">
        <is>
          <t>SVENLJUNGA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51701-2021</t>
        </is>
      </c>
      <c r="B3467" s="1" t="n">
        <v>44462</v>
      </c>
      <c r="C3467" s="1" t="n">
        <v>46011</v>
      </c>
      <c r="D3467" t="inlineStr">
        <is>
          <t>VÄSTRA GÖTALANDS LÄN</t>
        </is>
      </c>
      <c r="E3467" t="inlineStr">
        <is>
          <t>DALS-ED</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25469-2024</t>
        </is>
      </c>
      <c r="B3468" s="1" t="n">
        <v>45463.44024305556</v>
      </c>
      <c r="C3468" s="1" t="n">
        <v>46011</v>
      </c>
      <c r="D3468" t="inlineStr">
        <is>
          <t>VÄSTRA GÖTALANDS LÄN</t>
        </is>
      </c>
      <c r="E3468" t="inlineStr">
        <is>
          <t>UDDEVALLA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25485-2024</t>
        </is>
      </c>
      <c r="B3469" s="1" t="n">
        <v>45463.46701388889</v>
      </c>
      <c r="C3469" s="1" t="n">
        <v>46011</v>
      </c>
      <c r="D3469" t="inlineStr">
        <is>
          <t>VÄSTRA GÖTALANDS LÄN</t>
        </is>
      </c>
      <c r="E3469" t="inlineStr">
        <is>
          <t>TRANEMO</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25518-2024</t>
        </is>
      </c>
      <c r="B3470" s="1" t="n">
        <v>45463.50510416667</v>
      </c>
      <c r="C3470" s="1" t="n">
        <v>46011</v>
      </c>
      <c r="D3470" t="inlineStr">
        <is>
          <t>VÄSTRA GÖTALANDS LÄN</t>
        </is>
      </c>
      <c r="E3470" t="inlineStr">
        <is>
          <t>TRANEMO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23462-2024</t>
        </is>
      </c>
      <c r="B3471" s="1" t="n">
        <v>45453.65474537037</v>
      </c>
      <c r="C3471" s="1" t="n">
        <v>46011</v>
      </c>
      <c r="D3471" t="inlineStr">
        <is>
          <t>VÄSTRA GÖTALANDS LÄN</t>
        </is>
      </c>
      <c r="E3471" t="inlineStr">
        <is>
          <t>UDDEVALLA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28678-2024</t>
        </is>
      </c>
      <c r="B3472" s="1" t="n">
        <v>45478.48052083333</v>
      </c>
      <c r="C3472" s="1" t="n">
        <v>46011</v>
      </c>
      <c r="D3472" t="inlineStr">
        <is>
          <t>VÄSTRA GÖTALANDS LÄN</t>
        </is>
      </c>
      <c r="E3472" t="inlineStr">
        <is>
          <t>MUNKEDAL</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58341-2023</t>
        </is>
      </c>
      <c r="B3473" s="1" t="n">
        <v>45250</v>
      </c>
      <c r="C3473" s="1" t="n">
        <v>46011</v>
      </c>
      <c r="D3473" t="inlineStr">
        <is>
          <t>VÄSTRA GÖTALANDS LÄN</t>
        </is>
      </c>
      <c r="E3473" t="inlineStr">
        <is>
          <t>SVENLJUNGA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4436-2023</t>
        </is>
      </c>
      <c r="B3474" s="1" t="n">
        <v>44952</v>
      </c>
      <c r="C3474" s="1" t="n">
        <v>46011</v>
      </c>
      <c r="D3474" t="inlineStr">
        <is>
          <t>VÄSTRA GÖTALANDS LÄN</t>
        </is>
      </c>
      <c r="E3474" t="inlineStr">
        <is>
          <t>FALKÖPING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33011-2022</t>
        </is>
      </c>
      <c r="B3475" s="1" t="n">
        <v>44785.31972222222</v>
      </c>
      <c r="C3475" s="1" t="n">
        <v>46011</v>
      </c>
      <c r="D3475" t="inlineStr">
        <is>
          <t>VÄSTRA GÖTALANDS LÄN</t>
        </is>
      </c>
      <c r="E3475" t="inlineStr">
        <is>
          <t>STENUNGSUND</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28264-2023</t>
        </is>
      </c>
      <c r="B3476" s="1" t="n">
        <v>45099</v>
      </c>
      <c r="C3476" s="1" t="n">
        <v>46011</v>
      </c>
      <c r="D3476" t="inlineStr">
        <is>
          <t>VÄSTRA GÖTALANDS LÄN</t>
        </is>
      </c>
      <c r="E3476" t="inlineStr">
        <is>
          <t>GÖTENE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28268-2023</t>
        </is>
      </c>
      <c r="B3477" s="1" t="n">
        <v>45099.61547453704</v>
      </c>
      <c r="C3477" s="1" t="n">
        <v>46011</v>
      </c>
      <c r="D3477" t="inlineStr">
        <is>
          <t>VÄSTRA GÖTALANDS LÄN</t>
        </is>
      </c>
      <c r="E3477" t="inlineStr">
        <is>
          <t>GÖTENE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58342-2023</t>
        </is>
      </c>
      <c r="B3478" s="1" t="n">
        <v>45245</v>
      </c>
      <c r="C3478" s="1" t="n">
        <v>46011</v>
      </c>
      <c r="D3478" t="inlineStr">
        <is>
          <t>VÄSTRA GÖTALANDS LÄN</t>
        </is>
      </c>
      <c r="E3478" t="inlineStr">
        <is>
          <t>SKÖVDE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57958-2022</t>
        </is>
      </c>
      <c r="B3479" s="1" t="n">
        <v>44900.43143518519</v>
      </c>
      <c r="C3479" s="1" t="n">
        <v>46011</v>
      </c>
      <c r="D3479" t="inlineStr">
        <is>
          <t>VÄSTRA GÖTALANDS LÄN</t>
        </is>
      </c>
      <c r="E3479" t="inlineStr">
        <is>
          <t>TIDAHOLM</t>
        </is>
      </c>
      <c r="F3479" t="inlineStr">
        <is>
          <t>Sveaskog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42079-2022</t>
        </is>
      </c>
      <c r="B3480" s="1" t="n">
        <v>44830</v>
      </c>
      <c r="C3480" s="1" t="n">
        <v>46011</v>
      </c>
      <c r="D3480" t="inlineStr">
        <is>
          <t>VÄSTRA GÖTALANDS LÄN</t>
        </is>
      </c>
      <c r="E3480" t="inlineStr">
        <is>
          <t>TANUM</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35539-2021</t>
        </is>
      </c>
      <c r="B3481" s="1" t="n">
        <v>44385</v>
      </c>
      <c r="C3481" s="1" t="n">
        <v>46011</v>
      </c>
      <c r="D3481" t="inlineStr">
        <is>
          <t>VÄSTRA GÖTALANDS LÄN</t>
        </is>
      </c>
      <c r="E3481" t="inlineStr">
        <is>
          <t>FÄRGELANDA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37199-2022</t>
        </is>
      </c>
      <c r="B3482" s="1" t="n">
        <v>44806.63469907407</v>
      </c>
      <c r="C3482" s="1" t="n">
        <v>46011</v>
      </c>
      <c r="D3482" t="inlineStr">
        <is>
          <t>VÄSTRA GÖTALANDS LÄN</t>
        </is>
      </c>
      <c r="E3482" t="inlineStr">
        <is>
          <t>BENGTSFORS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10970-2024</t>
        </is>
      </c>
      <c r="B3483" s="1" t="n">
        <v>45370.51100694444</v>
      </c>
      <c r="C3483" s="1" t="n">
        <v>46011</v>
      </c>
      <c r="D3483" t="inlineStr">
        <is>
          <t>VÄSTRA GÖTALANDS LÄN</t>
        </is>
      </c>
      <c r="E3483" t="inlineStr">
        <is>
          <t>BENGTSFORS</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13319-2024</t>
        </is>
      </c>
      <c r="B3484" s="1" t="n">
        <v>45386.7578125</v>
      </c>
      <c r="C3484" s="1" t="n">
        <v>46011</v>
      </c>
      <c r="D3484" t="inlineStr">
        <is>
          <t>VÄSTRA GÖTALANDS LÄN</t>
        </is>
      </c>
      <c r="E3484" t="inlineStr">
        <is>
          <t>MELLERUD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12342-2021</t>
        </is>
      </c>
      <c r="B3485" s="1" t="n">
        <v>44267.43596064814</v>
      </c>
      <c r="C3485" s="1" t="n">
        <v>46011</v>
      </c>
      <c r="D3485" t="inlineStr">
        <is>
          <t>VÄSTRA GÖTALANDS LÄN</t>
        </is>
      </c>
      <c r="E3485" t="inlineStr">
        <is>
          <t>VÅRGÅRDA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16754-2024</t>
        </is>
      </c>
      <c r="B3486" s="1" t="n">
        <v>45411.33927083333</v>
      </c>
      <c r="C3486" s="1" t="n">
        <v>46011</v>
      </c>
      <c r="D3486" t="inlineStr">
        <is>
          <t>VÄSTRA GÖTALANDS LÄN</t>
        </is>
      </c>
      <c r="E3486" t="inlineStr">
        <is>
          <t>SVENLJUNGA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3308-2024</t>
        </is>
      </c>
      <c r="B3487" s="1" t="n">
        <v>45317.47125</v>
      </c>
      <c r="C3487" s="1" t="n">
        <v>46011</v>
      </c>
      <c r="D3487" t="inlineStr">
        <is>
          <t>VÄSTRA GÖTALANDS LÄN</t>
        </is>
      </c>
      <c r="E3487" t="inlineStr">
        <is>
          <t>BENGTSFORS</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3313-2024</t>
        </is>
      </c>
      <c r="B3488" s="1" t="n">
        <v>45317.4846412037</v>
      </c>
      <c r="C3488" s="1" t="n">
        <v>46011</v>
      </c>
      <c r="D3488" t="inlineStr">
        <is>
          <t>VÄSTRA GÖTALANDS LÄN</t>
        </is>
      </c>
      <c r="E3488" t="inlineStr">
        <is>
          <t>GULLSPÅNG</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45990-2022</t>
        </is>
      </c>
      <c r="B3489" s="1" t="n">
        <v>44846</v>
      </c>
      <c r="C3489" s="1" t="n">
        <v>46011</v>
      </c>
      <c r="D3489" t="inlineStr">
        <is>
          <t>VÄSTRA GÖTALANDS LÄN</t>
        </is>
      </c>
      <c r="E3489" t="inlineStr">
        <is>
          <t>KUNGÄLV</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2917-2024</t>
        </is>
      </c>
      <c r="B3490" s="1" t="n">
        <v>45315.58524305555</v>
      </c>
      <c r="C3490" s="1" t="n">
        <v>46011</v>
      </c>
      <c r="D3490" t="inlineStr">
        <is>
          <t>VÄSTRA GÖTALANDS LÄN</t>
        </is>
      </c>
      <c r="E3490" t="inlineStr">
        <is>
          <t>SKÖVDE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48003-2022</t>
        </is>
      </c>
      <c r="B3491" s="1" t="n">
        <v>44855</v>
      </c>
      <c r="C3491" s="1" t="n">
        <v>46011</v>
      </c>
      <c r="D3491" t="inlineStr">
        <is>
          <t>VÄSTRA GÖTALANDS LÄN</t>
        </is>
      </c>
      <c r="E3491" t="inlineStr">
        <is>
          <t>TRANEMO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54717-2022</t>
        </is>
      </c>
      <c r="B3492" s="1" t="n">
        <v>44883.53908564815</v>
      </c>
      <c r="C3492" s="1" t="n">
        <v>46011</v>
      </c>
      <c r="D3492" t="inlineStr">
        <is>
          <t>VÄSTRA GÖTALANDS LÄN</t>
        </is>
      </c>
      <c r="E3492" t="inlineStr">
        <is>
          <t>MARIESTAD</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58365-2022</t>
        </is>
      </c>
      <c r="B3493" s="1" t="n">
        <v>44901.62020833333</v>
      </c>
      <c r="C3493" s="1" t="n">
        <v>46011</v>
      </c>
      <c r="D3493" t="inlineStr">
        <is>
          <t>VÄSTRA GÖTALANDS LÄN</t>
        </is>
      </c>
      <c r="E3493" t="inlineStr">
        <is>
          <t>TIBRO</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41740-2024</t>
        </is>
      </c>
      <c r="B3494" s="1" t="n">
        <v>45561.27222222222</v>
      </c>
      <c r="C3494" s="1" t="n">
        <v>46011</v>
      </c>
      <c r="D3494" t="inlineStr">
        <is>
          <t>VÄSTRA GÖTALANDS LÄN</t>
        </is>
      </c>
      <c r="E3494" t="inlineStr">
        <is>
          <t>ULRICEHAMN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21899-2021</t>
        </is>
      </c>
      <c r="B3495" s="1" t="n">
        <v>44322</v>
      </c>
      <c r="C3495" s="1" t="n">
        <v>46011</v>
      </c>
      <c r="D3495" t="inlineStr">
        <is>
          <t>VÄSTRA GÖTALANDS LÄN</t>
        </is>
      </c>
      <c r="E3495" t="inlineStr">
        <is>
          <t>KUNGÄLV</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14397-2024</t>
        </is>
      </c>
      <c r="B3496" s="1" t="n">
        <v>45394.39236111111</v>
      </c>
      <c r="C3496" s="1" t="n">
        <v>46011</v>
      </c>
      <c r="D3496" t="inlineStr">
        <is>
          <t>VÄSTRA GÖTALANDS LÄN</t>
        </is>
      </c>
      <c r="E3496" t="inlineStr">
        <is>
          <t>BENGTSFORS</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22188-2023</t>
        </is>
      </c>
      <c r="B3497" s="1" t="n">
        <v>45069.71425925926</v>
      </c>
      <c r="C3497" s="1" t="n">
        <v>46011</v>
      </c>
      <c r="D3497" t="inlineStr">
        <is>
          <t>VÄSTRA GÖTALANDS LÄN</t>
        </is>
      </c>
      <c r="E3497" t="inlineStr">
        <is>
          <t>SVENLJUNGA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33807-2022</t>
        </is>
      </c>
      <c r="B3498" s="1" t="n">
        <v>44790.44344907408</v>
      </c>
      <c r="C3498" s="1" t="n">
        <v>46011</v>
      </c>
      <c r="D3498" t="inlineStr">
        <is>
          <t>VÄSTRA GÖTALANDS LÄN</t>
        </is>
      </c>
      <c r="E3498" t="inlineStr">
        <is>
          <t>MARK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43621-2021</t>
        </is>
      </c>
      <c r="B3499" s="1" t="n">
        <v>44433</v>
      </c>
      <c r="C3499" s="1" t="n">
        <v>46011</v>
      </c>
      <c r="D3499" t="inlineStr">
        <is>
          <t>VÄSTRA GÖTALANDS LÄN</t>
        </is>
      </c>
      <c r="E3499" t="inlineStr">
        <is>
          <t>VÄNERSBORG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35140-2024</t>
        </is>
      </c>
      <c r="B3500" s="1" t="n">
        <v>45530</v>
      </c>
      <c r="C3500" s="1" t="n">
        <v>46011</v>
      </c>
      <c r="D3500" t="inlineStr">
        <is>
          <t>VÄSTRA GÖTALANDS LÄN</t>
        </is>
      </c>
      <c r="E3500" t="inlineStr">
        <is>
          <t>TIDAHOLM</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36763-2022</t>
        </is>
      </c>
      <c r="B3501" s="1" t="n">
        <v>44805</v>
      </c>
      <c r="C3501" s="1" t="n">
        <v>46011</v>
      </c>
      <c r="D3501" t="inlineStr">
        <is>
          <t>VÄSTRA GÖTALANDS LÄN</t>
        </is>
      </c>
      <c r="E3501" t="inlineStr">
        <is>
          <t>ALE</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10579-2024</t>
        </is>
      </c>
      <c r="B3502" s="1" t="n">
        <v>45366.66769675926</v>
      </c>
      <c r="C3502" s="1" t="n">
        <v>46011</v>
      </c>
      <c r="D3502" t="inlineStr">
        <is>
          <t>VÄSTRA GÖTALANDS LÄN</t>
        </is>
      </c>
      <c r="E3502" t="inlineStr">
        <is>
          <t>LYSEKIL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10585-2024</t>
        </is>
      </c>
      <c r="B3503" s="1" t="n">
        <v>45366.69503472222</v>
      </c>
      <c r="C3503" s="1" t="n">
        <v>46011</v>
      </c>
      <c r="D3503" t="inlineStr">
        <is>
          <t>VÄSTRA GÖTALANDS LÄN</t>
        </is>
      </c>
      <c r="E3503" t="inlineStr">
        <is>
          <t>UDDEVALLA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18149-2024</t>
        </is>
      </c>
      <c r="B3504" s="1" t="n">
        <v>45420</v>
      </c>
      <c r="C3504" s="1" t="n">
        <v>46011</v>
      </c>
      <c r="D3504" t="inlineStr">
        <is>
          <t>VÄSTRA GÖTALANDS LÄN</t>
        </is>
      </c>
      <c r="E3504" t="inlineStr">
        <is>
          <t>SVENLJUNGA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57255-2022</t>
        </is>
      </c>
      <c r="B3505" s="1" t="n">
        <v>44895.78674768518</v>
      </c>
      <c r="C3505" s="1" t="n">
        <v>46011</v>
      </c>
      <c r="D3505" t="inlineStr">
        <is>
          <t>VÄSTRA GÖTALANDS LÄN</t>
        </is>
      </c>
      <c r="E3505" t="inlineStr">
        <is>
          <t>VARA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57258-2022</t>
        </is>
      </c>
      <c r="B3506" s="1" t="n">
        <v>44895</v>
      </c>
      <c r="C3506" s="1" t="n">
        <v>46011</v>
      </c>
      <c r="D3506" t="inlineStr">
        <is>
          <t>VÄSTRA GÖTALANDS LÄN</t>
        </is>
      </c>
      <c r="E3506" t="inlineStr">
        <is>
          <t>SKARA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57262-2022</t>
        </is>
      </c>
      <c r="B3507" s="1" t="n">
        <v>44895</v>
      </c>
      <c r="C3507" s="1" t="n">
        <v>46011</v>
      </c>
      <c r="D3507" t="inlineStr">
        <is>
          <t>VÄSTRA GÖTALANDS LÄN</t>
        </is>
      </c>
      <c r="E3507" t="inlineStr">
        <is>
          <t>DALS-ED</t>
        </is>
      </c>
      <c r="F3507" t="inlineStr">
        <is>
          <t>Kommuner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52893-2023</t>
        </is>
      </c>
      <c r="B3508" s="1" t="n">
        <v>45226.48465277778</v>
      </c>
      <c r="C3508" s="1" t="n">
        <v>46011</v>
      </c>
      <c r="D3508" t="inlineStr">
        <is>
          <t>VÄSTRA GÖTALANDS LÄN</t>
        </is>
      </c>
      <c r="E3508" t="inlineStr">
        <is>
          <t>FALKÖPING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41880-2022</t>
        </is>
      </c>
      <c r="B3509" s="1" t="n">
        <v>44830.29479166667</v>
      </c>
      <c r="C3509" s="1" t="n">
        <v>46011</v>
      </c>
      <c r="D3509" t="inlineStr">
        <is>
          <t>VÄSTRA GÖTALANDS LÄN</t>
        </is>
      </c>
      <c r="E3509" t="inlineStr">
        <is>
          <t>SVENLJUNGA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49108-2023</t>
        </is>
      </c>
      <c r="B3510" s="1" t="n">
        <v>45210.44365740741</v>
      </c>
      <c r="C3510" s="1" t="n">
        <v>46011</v>
      </c>
      <c r="D3510" t="inlineStr">
        <is>
          <t>VÄSTRA GÖTALANDS LÄN</t>
        </is>
      </c>
      <c r="E3510" t="inlineStr">
        <is>
          <t>MARK</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49163-2023</t>
        </is>
      </c>
      <c r="B3511" s="1" t="n">
        <v>45210.5324537037</v>
      </c>
      <c r="C3511" s="1" t="n">
        <v>46011</v>
      </c>
      <c r="D3511" t="inlineStr">
        <is>
          <t>VÄSTRA GÖTALANDS LÄN</t>
        </is>
      </c>
      <c r="E3511" t="inlineStr">
        <is>
          <t>MARIESTAD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52897-2023</t>
        </is>
      </c>
      <c r="B3512" s="1" t="n">
        <v>45226</v>
      </c>
      <c r="C3512" s="1" t="n">
        <v>46011</v>
      </c>
      <c r="D3512" t="inlineStr">
        <is>
          <t>VÄSTRA GÖTALANDS LÄN</t>
        </is>
      </c>
      <c r="E3512" t="inlineStr">
        <is>
          <t>FALKÖPING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56295-2023</t>
        </is>
      </c>
      <c r="B3513" s="1" t="n">
        <v>45242</v>
      </c>
      <c r="C3513" s="1" t="n">
        <v>46011</v>
      </c>
      <c r="D3513" t="inlineStr">
        <is>
          <t>VÄSTRA GÖTALANDS LÄN</t>
        </is>
      </c>
      <c r="E3513" t="inlineStr">
        <is>
          <t>ULRICEHAMN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35149-2022</t>
        </is>
      </c>
      <c r="B3514" s="1" t="n">
        <v>44797</v>
      </c>
      <c r="C3514" s="1" t="n">
        <v>46011</v>
      </c>
      <c r="D3514" t="inlineStr">
        <is>
          <t>VÄSTRA GÖTALANDS LÄN</t>
        </is>
      </c>
      <c r="E3514" t="inlineStr">
        <is>
          <t>GULLSPÅNG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35154-2022</t>
        </is>
      </c>
      <c r="B3515" s="1" t="n">
        <v>44797</v>
      </c>
      <c r="C3515" s="1" t="n">
        <v>46011</v>
      </c>
      <c r="D3515" t="inlineStr">
        <is>
          <t>VÄSTRA GÖTALANDS LÄN</t>
        </is>
      </c>
      <c r="E3515" t="inlineStr">
        <is>
          <t>ÅMÅL</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41836-2022</t>
        </is>
      </c>
      <c r="B3516" s="1" t="n">
        <v>44828.34606481482</v>
      </c>
      <c r="C3516" s="1" t="n">
        <v>46011</v>
      </c>
      <c r="D3516" t="inlineStr">
        <is>
          <t>VÄSTRA GÖTALANDS LÄN</t>
        </is>
      </c>
      <c r="E3516" t="inlineStr">
        <is>
          <t>LERUM</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61609-2022</t>
        </is>
      </c>
      <c r="B3517" s="1" t="n">
        <v>44916</v>
      </c>
      <c r="C3517" s="1" t="n">
        <v>46011</v>
      </c>
      <c r="D3517" t="inlineStr">
        <is>
          <t>VÄSTRA GÖTALANDS LÄN</t>
        </is>
      </c>
      <c r="E3517" t="inlineStr">
        <is>
          <t>BORÅS</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61622-2022</t>
        </is>
      </c>
      <c r="B3518" s="1" t="n">
        <v>44916</v>
      </c>
      <c r="C3518" s="1" t="n">
        <v>46011</v>
      </c>
      <c r="D3518" t="inlineStr">
        <is>
          <t>VÄSTRA GÖTALANDS LÄN</t>
        </is>
      </c>
      <c r="E3518" t="inlineStr">
        <is>
          <t>ULRICEHAMN</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61623-2022</t>
        </is>
      </c>
      <c r="B3519" s="1" t="n">
        <v>44916</v>
      </c>
      <c r="C3519" s="1" t="n">
        <v>46011</v>
      </c>
      <c r="D3519" t="inlineStr">
        <is>
          <t>VÄSTRA GÖTALANDS LÄN</t>
        </is>
      </c>
      <c r="E3519" t="inlineStr">
        <is>
          <t>ULRICEHAMN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13946-2024</t>
        </is>
      </c>
      <c r="B3520" s="1" t="n">
        <v>45392.31230324074</v>
      </c>
      <c r="C3520" s="1" t="n">
        <v>46011</v>
      </c>
      <c r="D3520" t="inlineStr">
        <is>
          <t>VÄSTRA GÖTALANDS LÄN</t>
        </is>
      </c>
      <c r="E3520" t="inlineStr">
        <is>
          <t>TRANEMO</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2994-2023</t>
        </is>
      </c>
      <c r="B3521" s="1" t="n">
        <v>44945.73666666666</v>
      </c>
      <c r="C3521" s="1" t="n">
        <v>46011</v>
      </c>
      <c r="D3521" t="inlineStr">
        <is>
          <t>VÄSTRA GÖTALANDS LÄN</t>
        </is>
      </c>
      <c r="E3521" t="inlineStr">
        <is>
          <t>TIDAHOLM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60792-2022</t>
        </is>
      </c>
      <c r="B3522" s="1" t="n">
        <v>44914.42209490741</v>
      </c>
      <c r="C3522" s="1" t="n">
        <v>46011</v>
      </c>
      <c r="D3522" t="inlineStr">
        <is>
          <t>VÄSTRA GÖTALANDS LÄN</t>
        </is>
      </c>
      <c r="E3522" t="inlineStr">
        <is>
          <t>BOLLEBYGD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10185-2023</t>
        </is>
      </c>
      <c r="B3523" s="1" t="n">
        <v>44986</v>
      </c>
      <c r="C3523" s="1" t="n">
        <v>46011</v>
      </c>
      <c r="D3523" t="inlineStr">
        <is>
          <t>VÄSTRA GÖTALANDS LÄN</t>
        </is>
      </c>
      <c r="E3523" t="inlineStr">
        <is>
          <t>TÖREBODA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10297-2024</t>
        </is>
      </c>
      <c r="B3524" s="1" t="n">
        <v>45365.49547453703</v>
      </c>
      <c r="C3524" s="1" t="n">
        <v>46011</v>
      </c>
      <c r="D3524" t="inlineStr">
        <is>
          <t>VÄSTRA GÖTALANDS LÄN</t>
        </is>
      </c>
      <c r="E3524" t="inlineStr">
        <is>
          <t>HERRLJUNGA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4932-2023</t>
        </is>
      </c>
      <c r="B3525" s="1" t="n">
        <v>44958</v>
      </c>
      <c r="C3525" s="1" t="n">
        <v>46011</v>
      </c>
      <c r="D3525" t="inlineStr">
        <is>
          <t>VÄSTRA GÖTALANDS LÄN</t>
        </is>
      </c>
      <c r="E3525" t="inlineStr">
        <is>
          <t>BORÅS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50521-2022</t>
        </is>
      </c>
      <c r="B3526" s="1" t="n">
        <v>44866</v>
      </c>
      <c r="C3526" s="1" t="n">
        <v>46011</v>
      </c>
      <c r="D3526" t="inlineStr">
        <is>
          <t>VÄSTRA GÖTALANDS LÄN</t>
        </is>
      </c>
      <c r="E3526" t="inlineStr">
        <is>
          <t>TRANEMO</t>
        </is>
      </c>
      <c r="F3526" t="inlineStr">
        <is>
          <t>Sveaskog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65124-2023</t>
        </is>
      </c>
      <c r="B3527" s="1" t="n">
        <v>45288.49311342592</v>
      </c>
      <c r="C3527" s="1" t="n">
        <v>46011</v>
      </c>
      <c r="D3527" t="inlineStr">
        <is>
          <t>VÄSTRA GÖTALANDS LÄN</t>
        </is>
      </c>
      <c r="E3527" t="inlineStr">
        <is>
          <t>SKARA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4434-2024</t>
        </is>
      </c>
      <c r="B3528" s="1" t="n">
        <v>45327.47383101852</v>
      </c>
      <c r="C3528" s="1" t="n">
        <v>46011</v>
      </c>
      <c r="D3528" t="inlineStr">
        <is>
          <t>VÄSTRA GÖTALANDS LÄN</t>
        </is>
      </c>
      <c r="E3528" t="inlineStr">
        <is>
          <t>VARA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4548-2024</t>
        </is>
      </c>
      <c r="B3529" s="1" t="n">
        <v>45327.7147800926</v>
      </c>
      <c r="C3529" s="1" t="n">
        <v>46011</v>
      </c>
      <c r="D3529" t="inlineStr">
        <is>
          <t>VÄSTRA GÖTALANDS LÄN</t>
        </is>
      </c>
      <c r="E3529" t="inlineStr">
        <is>
          <t>VÅRGÅRDA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18759-2024</t>
        </is>
      </c>
      <c r="B3530" s="1" t="n">
        <v>45426</v>
      </c>
      <c r="C3530" s="1" t="n">
        <v>46011</v>
      </c>
      <c r="D3530" t="inlineStr">
        <is>
          <t>VÄSTRA GÖTALANDS LÄN</t>
        </is>
      </c>
      <c r="E3530" t="inlineStr">
        <is>
          <t>FALKÖPING</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18768-2024</t>
        </is>
      </c>
      <c r="B3531" s="1" t="n">
        <v>45426.5609837963</v>
      </c>
      <c r="C3531" s="1" t="n">
        <v>46011</v>
      </c>
      <c r="D3531" t="inlineStr">
        <is>
          <t>VÄSTRA GÖTALANDS LÄN</t>
        </is>
      </c>
      <c r="E3531" t="inlineStr">
        <is>
          <t>LIDKÖPING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13800-2024</t>
        </is>
      </c>
      <c r="B3532" s="1" t="n">
        <v>45391</v>
      </c>
      <c r="C3532" s="1" t="n">
        <v>46011</v>
      </c>
      <c r="D3532" t="inlineStr">
        <is>
          <t>VÄSTRA GÖTALANDS LÄN</t>
        </is>
      </c>
      <c r="E3532" t="inlineStr">
        <is>
          <t>SKÖVDE</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13871-2024</t>
        </is>
      </c>
      <c r="B3533" s="1" t="n">
        <v>45391.57079861111</v>
      </c>
      <c r="C3533" s="1" t="n">
        <v>46011</v>
      </c>
      <c r="D3533" t="inlineStr">
        <is>
          <t>VÄSTRA GÖTALANDS LÄN</t>
        </is>
      </c>
      <c r="E3533" t="inlineStr">
        <is>
          <t>TRANEMO</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3296-2024</t>
        </is>
      </c>
      <c r="B3534" s="1" t="n">
        <v>45317</v>
      </c>
      <c r="C3534" s="1" t="n">
        <v>46011</v>
      </c>
      <c r="D3534" t="inlineStr">
        <is>
          <t>VÄSTRA GÖTALANDS LÄN</t>
        </is>
      </c>
      <c r="E3534" t="inlineStr">
        <is>
          <t>TRANEMO</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3314-2024</t>
        </is>
      </c>
      <c r="B3535" s="1" t="n">
        <v>45317.48802083333</v>
      </c>
      <c r="C3535" s="1" t="n">
        <v>46011</v>
      </c>
      <c r="D3535" t="inlineStr">
        <is>
          <t>VÄSTRA GÖTALANDS LÄN</t>
        </is>
      </c>
      <c r="E3535" t="inlineStr">
        <is>
          <t>HERRLJUNGA</t>
        </is>
      </c>
      <c r="F3535" t="inlineStr">
        <is>
          <t>Kyrkan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3317-2024</t>
        </is>
      </c>
      <c r="B3536" s="1" t="n">
        <v>45317.49085648148</v>
      </c>
      <c r="C3536" s="1" t="n">
        <v>46011</v>
      </c>
      <c r="D3536" t="inlineStr">
        <is>
          <t>VÄSTRA GÖTALANDS LÄN</t>
        </is>
      </c>
      <c r="E3536" t="inlineStr">
        <is>
          <t>ESSUNGA</t>
        </is>
      </c>
      <c r="F3536" t="inlineStr">
        <is>
          <t>Kyrkan</t>
        </is>
      </c>
      <c r="G3536" t="n">
        <v>10.2</v>
      </c>
      <c r="H3536" t="n">
        <v>0</v>
      </c>
      <c r="I3536" t="n">
        <v>0</v>
      </c>
      <c r="J3536" t="n">
        <v>0</v>
      </c>
      <c r="K3536" t="n">
        <v>0</v>
      </c>
      <c r="L3536" t="n">
        <v>0</v>
      </c>
      <c r="M3536" t="n">
        <v>0</v>
      </c>
      <c r="N3536" t="n">
        <v>0</v>
      </c>
      <c r="O3536" t="n">
        <v>0</v>
      </c>
      <c r="P3536" t="n">
        <v>0</v>
      </c>
      <c r="Q3536" t="n">
        <v>0</v>
      </c>
      <c r="R3536" s="2" t="inlineStr"/>
    </row>
    <row r="3537" ht="15" customHeight="1">
      <c r="A3537" t="inlineStr">
        <is>
          <t>A 25164-2023</t>
        </is>
      </c>
      <c r="B3537" s="1" t="n">
        <v>45086.51556712963</v>
      </c>
      <c r="C3537" s="1" t="n">
        <v>46011</v>
      </c>
      <c r="D3537" t="inlineStr">
        <is>
          <t>VÄSTRA GÖTALANDS LÄN</t>
        </is>
      </c>
      <c r="E3537" t="inlineStr">
        <is>
          <t>ULRICEHAMN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36975-2024</t>
        </is>
      </c>
      <c r="B3538" s="1" t="n">
        <v>45538.9009375</v>
      </c>
      <c r="C3538" s="1" t="n">
        <v>46011</v>
      </c>
      <c r="D3538" t="inlineStr">
        <is>
          <t>VÄSTRA GÖTALANDS LÄN</t>
        </is>
      </c>
      <c r="E3538" t="inlineStr">
        <is>
          <t>BORÅS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41292-2022</t>
        </is>
      </c>
      <c r="B3539" s="1" t="n">
        <v>44825</v>
      </c>
      <c r="C3539" s="1" t="n">
        <v>46011</v>
      </c>
      <c r="D3539" t="inlineStr">
        <is>
          <t>VÄSTRA GÖTALANDS LÄN</t>
        </is>
      </c>
      <c r="E3539" t="inlineStr">
        <is>
          <t>UDDEVALLA</t>
        </is>
      </c>
      <c r="F3539" t="inlineStr">
        <is>
          <t>Kyrkan</t>
        </is>
      </c>
      <c r="G3539" t="n">
        <v>9.699999999999999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47418-2023</t>
        </is>
      </c>
      <c r="B3540" s="1" t="n">
        <v>45202</v>
      </c>
      <c r="C3540" s="1" t="n">
        <v>46011</v>
      </c>
      <c r="D3540" t="inlineStr">
        <is>
          <t>VÄSTRA GÖTALANDS LÄN</t>
        </is>
      </c>
      <c r="E3540" t="inlineStr">
        <is>
          <t>MARK</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46491-2021</t>
        </is>
      </c>
      <c r="B3541" s="1" t="n">
        <v>44445</v>
      </c>
      <c r="C3541" s="1" t="n">
        <v>46011</v>
      </c>
      <c r="D3541" t="inlineStr">
        <is>
          <t>VÄSTRA GÖTALANDS LÄN</t>
        </is>
      </c>
      <c r="E3541" t="inlineStr">
        <is>
          <t>ALINGSÅS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46538-2021</t>
        </is>
      </c>
      <c r="B3542" s="1" t="n">
        <v>44445.46506944444</v>
      </c>
      <c r="C3542" s="1" t="n">
        <v>46011</v>
      </c>
      <c r="D3542" t="inlineStr">
        <is>
          <t>VÄSTRA GÖTALANDS LÄN</t>
        </is>
      </c>
      <c r="E3542" t="inlineStr">
        <is>
          <t>BORÅS</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13423-2024</t>
        </is>
      </c>
      <c r="B3543" s="1" t="n">
        <v>45387.47238425926</v>
      </c>
      <c r="C3543" s="1" t="n">
        <v>46011</v>
      </c>
      <c r="D3543" t="inlineStr">
        <is>
          <t>VÄSTRA GÖTALANDS LÄN</t>
        </is>
      </c>
      <c r="E3543" t="inlineStr">
        <is>
          <t>TANUM</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12439-2024</t>
        </is>
      </c>
      <c r="B3544" s="1" t="n">
        <v>45379.44914351852</v>
      </c>
      <c r="C3544" s="1" t="n">
        <v>46011</v>
      </c>
      <c r="D3544" t="inlineStr">
        <is>
          <t>VÄSTRA GÖTALANDS LÄN</t>
        </is>
      </c>
      <c r="E3544" t="inlineStr">
        <is>
          <t>BORÅS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9422-2024</t>
        </is>
      </c>
      <c r="B3545" s="1" t="n">
        <v>45359</v>
      </c>
      <c r="C3545" s="1" t="n">
        <v>46011</v>
      </c>
      <c r="D3545" t="inlineStr">
        <is>
          <t>VÄSTRA GÖTALANDS LÄN</t>
        </is>
      </c>
      <c r="E3545" t="inlineStr">
        <is>
          <t>LIDKÖPING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14690-2024</t>
        </is>
      </c>
      <c r="B3546" s="1" t="n">
        <v>45397</v>
      </c>
      <c r="C3546" s="1" t="n">
        <v>46011</v>
      </c>
      <c r="D3546" t="inlineStr">
        <is>
          <t>VÄSTRA GÖTALANDS LÄN</t>
        </is>
      </c>
      <c r="E3546" t="inlineStr">
        <is>
          <t>VARA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42979-2022</t>
        </is>
      </c>
      <c r="B3547" s="1" t="n">
        <v>44833.46141203704</v>
      </c>
      <c r="C3547" s="1" t="n">
        <v>46011</v>
      </c>
      <c r="D3547" t="inlineStr">
        <is>
          <t>VÄSTRA GÖTALANDS LÄN</t>
        </is>
      </c>
      <c r="E3547" t="inlineStr">
        <is>
          <t>DALS-ED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1486-2023</t>
        </is>
      </c>
      <c r="B3548" s="1" t="n">
        <v>44937</v>
      </c>
      <c r="C3548" s="1" t="n">
        <v>46011</v>
      </c>
      <c r="D3548" t="inlineStr">
        <is>
          <t>VÄSTRA GÖTALANDS LÄN</t>
        </is>
      </c>
      <c r="E3548" t="inlineStr">
        <is>
          <t>TJÖRN</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11916-2024</t>
        </is>
      </c>
      <c r="B3549" s="1" t="n">
        <v>45376</v>
      </c>
      <c r="C3549" s="1" t="n">
        <v>46011</v>
      </c>
      <c r="D3549" t="inlineStr">
        <is>
          <t>VÄSTRA GÖTALANDS LÄN</t>
        </is>
      </c>
      <c r="E3549" t="inlineStr">
        <is>
          <t>ÅMÅL</t>
        </is>
      </c>
      <c r="F3549" t="inlineStr">
        <is>
          <t>Bergvik skog väst AB</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74081-2021</t>
        </is>
      </c>
      <c r="B3550" s="1" t="n">
        <v>44553</v>
      </c>
      <c r="C3550" s="1" t="n">
        <v>46011</v>
      </c>
      <c r="D3550" t="inlineStr">
        <is>
          <t>VÄSTRA GÖTALANDS LÄN</t>
        </is>
      </c>
      <c r="E3550" t="inlineStr">
        <is>
          <t>MARIESTAD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60292-2023</t>
        </is>
      </c>
      <c r="B3551" s="1" t="n">
        <v>45257</v>
      </c>
      <c r="C3551" s="1" t="n">
        <v>46011</v>
      </c>
      <c r="D3551" t="inlineStr">
        <is>
          <t>VÄSTRA GÖTALANDS LÄN</t>
        </is>
      </c>
      <c r="E3551" t="inlineStr">
        <is>
          <t>FALKÖPING</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17749-2024</t>
        </is>
      </c>
      <c r="B3552" s="1" t="n">
        <v>45418.59761574074</v>
      </c>
      <c r="C3552" s="1" t="n">
        <v>46011</v>
      </c>
      <c r="D3552" t="inlineStr">
        <is>
          <t>VÄSTRA GÖTALANDS LÄN</t>
        </is>
      </c>
      <c r="E3552" t="inlineStr">
        <is>
          <t>VÄNERSBORG</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45088-2021</t>
        </is>
      </c>
      <c r="B3553" s="1" t="n">
        <v>44439.391875</v>
      </c>
      <c r="C3553" s="1" t="n">
        <v>46011</v>
      </c>
      <c r="D3553" t="inlineStr">
        <is>
          <t>VÄSTRA GÖTALANDS LÄN</t>
        </is>
      </c>
      <c r="E3553" t="inlineStr">
        <is>
          <t>ORUST</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33571-2023</t>
        </is>
      </c>
      <c r="B3554" s="1" t="n">
        <v>45131</v>
      </c>
      <c r="C3554" s="1" t="n">
        <v>46011</v>
      </c>
      <c r="D3554" t="inlineStr">
        <is>
          <t>VÄSTRA GÖTALANDS LÄN</t>
        </is>
      </c>
      <c r="E3554" t="inlineStr">
        <is>
          <t>MARIESTAD</t>
        </is>
      </c>
      <c r="G3554" t="n">
        <v>16.1</v>
      </c>
      <c r="H3554" t="n">
        <v>0</v>
      </c>
      <c r="I3554" t="n">
        <v>0</v>
      </c>
      <c r="J3554" t="n">
        <v>0</v>
      </c>
      <c r="K3554" t="n">
        <v>0</v>
      </c>
      <c r="L3554" t="n">
        <v>0</v>
      </c>
      <c r="M3554" t="n">
        <v>0</v>
      </c>
      <c r="N3554" t="n">
        <v>0</v>
      </c>
      <c r="O3554" t="n">
        <v>0</v>
      </c>
      <c r="P3554" t="n">
        <v>0</v>
      </c>
      <c r="Q3554" t="n">
        <v>0</v>
      </c>
      <c r="R3554" s="2" t="inlineStr"/>
    </row>
    <row r="3555" ht="15" customHeight="1">
      <c r="A3555" t="inlineStr">
        <is>
          <t>A 59925-2023</t>
        </is>
      </c>
      <c r="B3555" s="1" t="n">
        <v>45257.65560185185</v>
      </c>
      <c r="C3555" s="1" t="n">
        <v>46011</v>
      </c>
      <c r="D3555" t="inlineStr">
        <is>
          <t>VÄSTRA GÖTALANDS LÄN</t>
        </is>
      </c>
      <c r="E3555" t="inlineStr">
        <is>
          <t>ALINGSÅS</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38046-2022</t>
        </is>
      </c>
      <c r="B3556" s="1" t="n">
        <v>44811.64700231481</v>
      </c>
      <c r="C3556" s="1" t="n">
        <v>46011</v>
      </c>
      <c r="D3556" t="inlineStr">
        <is>
          <t>VÄSTRA GÖTALANDS LÄN</t>
        </is>
      </c>
      <c r="E3556" t="inlineStr">
        <is>
          <t>VÅRGÅRDA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51040-2022</t>
        </is>
      </c>
      <c r="B3557" s="1" t="n">
        <v>44868.3232175926</v>
      </c>
      <c r="C3557" s="1" t="n">
        <v>46011</v>
      </c>
      <c r="D3557" t="inlineStr">
        <is>
          <t>VÄSTRA GÖTALANDS LÄN</t>
        </is>
      </c>
      <c r="E3557" t="inlineStr">
        <is>
          <t>TÖREBODA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38108-2022</t>
        </is>
      </c>
      <c r="B3558" s="1" t="n">
        <v>44812.25462962963</v>
      </c>
      <c r="C3558" s="1" t="n">
        <v>46011</v>
      </c>
      <c r="D3558" t="inlineStr">
        <is>
          <t>VÄSTRA GÖTALANDS LÄN</t>
        </is>
      </c>
      <c r="E3558" t="inlineStr">
        <is>
          <t>MARIESTAD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59986-2023</t>
        </is>
      </c>
      <c r="B3559" s="1" t="n">
        <v>45257.81895833334</v>
      </c>
      <c r="C3559" s="1" t="n">
        <v>46011</v>
      </c>
      <c r="D3559" t="inlineStr">
        <is>
          <t>VÄSTRA GÖTALANDS LÄN</t>
        </is>
      </c>
      <c r="E3559" t="inlineStr">
        <is>
          <t>HJO</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50610-2022</t>
        </is>
      </c>
      <c r="B3560" s="1" t="n">
        <v>44866</v>
      </c>
      <c r="C3560" s="1" t="n">
        <v>46011</v>
      </c>
      <c r="D3560" t="inlineStr">
        <is>
          <t>VÄSTRA GÖTALANDS LÄN</t>
        </is>
      </c>
      <c r="E3560" t="inlineStr">
        <is>
          <t>BENGTSFORS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35956-2024</t>
        </is>
      </c>
      <c r="B3561" s="1" t="n">
        <v>45533.47017361111</v>
      </c>
      <c r="C3561" s="1" t="n">
        <v>46011</v>
      </c>
      <c r="D3561" t="inlineStr">
        <is>
          <t>VÄSTRA GÖTALANDS LÄN</t>
        </is>
      </c>
      <c r="E3561" t="inlineStr">
        <is>
          <t>TIDAHOLM</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47047-2021</t>
        </is>
      </c>
      <c r="B3562" s="1" t="n">
        <v>44446.62215277777</v>
      </c>
      <c r="C3562" s="1" t="n">
        <v>46011</v>
      </c>
      <c r="D3562" t="inlineStr">
        <is>
          <t>VÄSTRA GÖTALANDS LÄN</t>
        </is>
      </c>
      <c r="E3562" t="inlineStr">
        <is>
          <t>HJO</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43684-2022</t>
        </is>
      </c>
      <c r="B3563" s="1" t="n">
        <v>44837.62194444444</v>
      </c>
      <c r="C3563" s="1" t="n">
        <v>46011</v>
      </c>
      <c r="D3563" t="inlineStr">
        <is>
          <t>VÄSTRA GÖTALANDS LÄN</t>
        </is>
      </c>
      <c r="E3563" t="inlineStr">
        <is>
          <t>FÄRGELANDA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62251-2023</t>
        </is>
      </c>
      <c r="B3564" s="1" t="n">
        <v>45267.61526620371</v>
      </c>
      <c r="C3564" s="1" t="n">
        <v>46011</v>
      </c>
      <c r="D3564" t="inlineStr">
        <is>
          <t>VÄSTRA GÖTALANDS LÄN</t>
        </is>
      </c>
      <c r="E3564" t="inlineStr">
        <is>
          <t>HJO</t>
        </is>
      </c>
      <c r="F3564" t="inlineStr">
        <is>
          <t>Sveaskog</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13246-2024</t>
        </is>
      </c>
      <c r="B3565" s="1" t="n">
        <v>45386.56986111111</v>
      </c>
      <c r="C3565" s="1" t="n">
        <v>46011</v>
      </c>
      <c r="D3565" t="inlineStr">
        <is>
          <t>VÄSTRA GÖTALANDS LÄN</t>
        </is>
      </c>
      <c r="E3565" t="inlineStr">
        <is>
          <t>LYSEKIL</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13276-2024</t>
        </is>
      </c>
      <c r="B3566" s="1" t="n">
        <v>45386</v>
      </c>
      <c r="C3566" s="1" t="n">
        <v>46011</v>
      </c>
      <c r="D3566" t="inlineStr">
        <is>
          <t>VÄSTRA GÖTALANDS LÄN</t>
        </is>
      </c>
      <c r="E3566" t="inlineStr">
        <is>
          <t>GÖTENE</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62303-2023</t>
        </is>
      </c>
      <c r="B3567" s="1" t="n">
        <v>45267.68408564815</v>
      </c>
      <c r="C3567" s="1" t="n">
        <v>46011</v>
      </c>
      <c r="D3567" t="inlineStr">
        <is>
          <t>VÄSTRA GÖTALANDS LÄN</t>
        </is>
      </c>
      <c r="E3567" t="inlineStr">
        <is>
          <t>SVENLJUNGA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38164-2022</t>
        </is>
      </c>
      <c r="B3568" s="1" t="n">
        <v>44812.38193287037</v>
      </c>
      <c r="C3568" s="1" t="n">
        <v>46011</v>
      </c>
      <c r="D3568" t="inlineStr">
        <is>
          <t>VÄSTRA GÖTALANDS LÄN</t>
        </is>
      </c>
      <c r="E3568" t="inlineStr">
        <is>
          <t>MUNKEDAL</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26224-2024</t>
        </is>
      </c>
      <c r="B3569" s="1" t="n">
        <v>45468.60724537037</v>
      </c>
      <c r="C3569" s="1" t="n">
        <v>46011</v>
      </c>
      <c r="D3569" t="inlineStr">
        <is>
          <t>VÄSTRA GÖTALANDS LÄN</t>
        </is>
      </c>
      <c r="E3569" t="inlineStr">
        <is>
          <t>HERRLJUNGA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9401-2024</t>
        </is>
      </c>
      <c r="B3570" s="1" t="n">
        <v>45359.42094907408</v>
      </c>
      <c r="C3570" s="1" t="n">
        <v>46011</v>
      </c>
      <c r="D3570" t="inlineStr">
        <is>
          <t>VÄSTRA GÖTALANDS LÄN</t>
        </is>
      </c>
      <c r="E3570" t="inlineStr">
        <is>
          <t>BOLLEBYGD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58330-2021</t>
        </is>
      </c>
      <c r="B3571" s="1" t="n">
        <v>44488</v>
      </c>
      <c r="C3571" s="1" t="n">
        <v>46011</v>
      </c>
      <c r="D3571" t="inlineStr">
        <is>
          <t>VÄSTRA GÖTALANDS LÄN</t>
        </is>
      </c>
      <c r="E3571" t="inlineStr">
        <is>
          <t>FÄRGELANDA</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44756-2024</t>
        </is>
      </c>
      <c r="B3572" s="1" t="n">
        <v>45574.613125</v>
      </c>
      <c r="C3572" s="1" t="n">
        <v>46011</v>
      </c>
      <c r="D3572" t="inlineStr">
        <is>
          <t>VÄSTRA GÖTALANDS LÄN</t>
        </is>
      </c>
      <c r="E3572" t="inlineStr">
        <is>
          <t>TRANEMO</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53838-2023</t>
        </is>
      </c>
      <c r="B3573" s="1" t="n">
        <v>45231</v>
      </c>
      <c r="C3573" s="1" t="n">
        <v>46011</v>
      </c>
      <c r="D3573" t="inlineStr">
        <is>
          <t>VÄSTRA GÖTALANDS LÄN</t>
        </is>
      </c>
      <c r="E3573" t="inlineStr">
        <is>
          <t>TANUM</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3930-2024</t>
        </is>
      </c>
      <c r="B3574" s="1" t="n">
        <v>45322</v>
      </c>
      <c r="C3574" s="1" t="n">
        <v>46011</v>
      </c>
      <c r="D3574" t="inlineStr">
        <is>
          <t>VÄSTRA GÖTALANDS LÄN</t>
        </is>
      </c>
      <c r="E3574" t="inlineStr">
        <is>
          <t>MARK</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16551-2024</t>
        </is>
      </c>
      <c r="B3575" s="1" t="n">
        <v>45408</v>
      </c>
      <c r="C3575" s="1" t="n">
        <v>46011</v>
      </c>
      <c r="D3575" t="inlineStr">
        <is>
          <t>VÄSTRA GÖTALANDS LÄN</t>
        </is>
      </c>
      <c r="E3575" t="inlineStr">
        <is>
          <t>VÄNERSBORG</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8052-2023</t>
        </is>
      </c>
      <c r="B3576" s="1" t="n">
        <v>44974</v>
      </c>
      <c r="C3576" s="1" t="n">
        <v>46011</v>
      </c>
      <c r="D3576" t="inlineStr">
        <is>
          <t>VÄSTRA GÖTALANDS LÄN</t>
        </is>
      </c>
      <c r="E3576" t="inlineStr">
        <is>
          <t>KARLSBORG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27525-2024</t>
        </is>
      </c>
      <c r="B3577" s="1" t="n">
        <v>45474</v>
      </c>
      <c r="C3577" s="1" t="n">
        <v>46011</v>
      </c>
      <c r="D3577" t="inlineStr">
        <is>
          <t>VÄSTRA GÖTALANDS LÄN</t>
        </is>
      </c>
      <c r="E3577" t="inlineStr">
        <is>
          <t>TIDAHOLM</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3951-2024</t>
        </is>
      </c>
      <c r="B3578" s="1" t="n">
        <v>45322</v>
      </c>
      <c r="C3578" s="1" t="n">
        <v>46011</v>
      </c>
      <c r="D3578" t="inlineStr">
        <is>
          <t>VÄSTRA GÖTALANDS LÄN</t>
        </is>
      </c>
      <c r="E3578" t="inlineStr">
        <is>
          <t>SKÖVDE</t>
        </is>
      </c>
      <c r="G3578" t="n">
        <v>10.7</v>
      </c>
      <c r="H3578" t="n">
        <v>0</v>
      </c>
      <c r="I3578" t="n">
        <v>0</v>
      </c>
      <c r="J3578" t="n">
        <v>0</v>
      </c>
      <c r="K3578" t="n">
        <v>0</v>
      </c>
      <c r="L3578" t="n">
        <v>0</v>
      </c>
      <c r="M3578" t="n">
        <v>0</v>
      </c>
      <c r="N3578" t="n">
        <v>0</v>
      </c>
      <c r="O3578" t="n">
        <v>0</v>
      </c>
      <c r="P3578" t="n">
        <v>0</v>
      </c>
      <c r="Q3578" t="n">
        <v>0</v>
      </c>
      <c r="R3578" s="2" t="inlineStr"/>
    </row>
    <row r="3579" ht="15" customHeight="1">
      <c r="A3579" t="inlineStr">
        <is>
          <t>A 58533-2023</t>
        </is>
      </c>
      <c r="B3579" s="1" t="n">
        <v>45251</v>
      </c>
      <c r="C3579" s="1" t="n">
        <v>46011</v>
      </c>
      <c r="D3579" t="inlineStr">
        <is>
          <t>VÄSTRA GÖTALANDS LÄN</t>
        </is>
      </c>
      <c r="E3579" t="inlineStr">
        <is>
          <t>KARLSBORG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21333-2023</t>
        </is>
      </c>
      <c r="B3580" s="1" t="n">
        <v>45062</v>
      </c>
      <c r="C3580" s="1" t="n">
        <v>46011</v>
      </c>
      <c r="D3580" t="inlineStr">
        <is>
          <t>VÄSTRA GÖTALANDS LÄN</t>
        </is>
      </c>
      <c r="E3580" t="inlineStr">
        <is>
          <t>BORÅS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7917-2023</t>
        </is>
      </c>
      <c r="B3581" s="1" t="n">
        <v>44973</v>
      </c>
      <c r="C3581" s="1" t="n">
        <v>46011</v>
      </c>
      <c r="D3581" t="inlineStr">
        <is>
          <t>VÄSTRA GÖTALANDS LÄN</t>
        </is>
      </c>
      <c r="E3581" t="inlineStr">
        <is>
          <t>TIDAHOLM</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8053-2023</t>
        </is>
      </c>
      <c r="B3582" s="1" t="n">
        <v>44974</v>
      </c>
      <c r="C3582" s="1" t="n">
        <v>46011</v>
      </c>
      <c r="D3582" t="inlineStr">
        <is>
          <t>VÄSTRA GÖTALANDS LÄN</t>
        </is>
      </c>
      <c r="E3582" t="inlineStr">
        <is>
          <t>KARLSBORG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29159-2024</t>
        </is>
      </c>
      <c r="B3583" s="1" t="n">
        <v>45482</v>
      </c>
      <c r="C3583" s="1" t="n">
        <v>46011</v>
      </c>
      <c r="D3583" t="inlineStr">
        <is>
          <t>VÄSTRA GÖTALANDS LÄN</t>
        </is>
      </c>
      <c r="E3583" t="inlineStr">
        <is>
          <t>HERRLJUNGA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56378-2022</t>
        </is>
      </c>
      <c r="B3584" s="1" t="n">
        <v>44890</v>
      </c>
      <c r="C3584" s="1" t="n">
        <v>46011</v>
      </c>
      <c r="D3584" t="inlineStr">
        <is>
          <t>VÄSTRA GÖTALANDS LÄN</t>
        </is>
      </c>
      <c r="E3584" t="inlineStr">
        <is>
          <t>TANUM</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47300-2022</t>
        </is>
      </c>
      <c r="B3585" s="1" t="n">
        <v>44853</v>
      </c>
      <c r="C3585" s="1" t="n">
        <v>46011</v>
      </c>
      <c r="D3585" t="inlineStr">
        <is>
          <t>VÄSTRA GÖTALANDS LÄN</t>
        </is>
      </c>
      <c r="E3585" t="inlineStr">
        <is>
          <t>HJO</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54930-2023</t>
        </is>
      </c>
      <c r="B3586" s="1" t="n">
        <v>45229</v>
      </c>
      <c r="C3586" s="1" t="n">
        <v>46011</v>
      </c>
      <c r="D3586" t="inlineStr">
        <is>
          <t>VÄSTRA GÖTALANDS LÄN</t>
        </is>
      </c>
      <c r="E3586" t="inlineStr">
        <is>
          <t>MUNKEDAL</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64739-2023</t>
        </is>
      </c>
      <c r="B3587" s="1" t="n">
        <v>45281.87136574074</v>
      </c>
      <c r="C3587" s="1" t="n">
        <v>46011</v>
      </c>
      <c r="D3587" t="inlineStr">
        <is>
          <t>VÄSTRA GÖTALANDS LÄN</t>
        </is>
      </c>
      <c r="E3587" t="inlineStr">
        <is>
          <t>ULRICEHAMN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32082-2023</t>
        </is>
      </c>
      <c r="B3588" s="1" t="n">
        <v>45119.59131944444</v>
      </c>
      <c r="C3588" s="1" t="n">
        <v>46011</v>
      </c>
      <c r="D3588" t="inlineStr">
        <is>
          <t>VÄSTRA GÖTALANDS LÄN</t>
        </is>
      </c>
      <c r="E3588" t="inlineStr">
        <is>
          <t>DALS-ED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58923-2021</t>
        </is>
      </c>
      <c r="B3589" s="1" t="n">
        <v>44489.78759259259</v>
      </c>
      <c r="C3589" s="1" t="n">
        <v>46011</v>
      </c>
      <c r="D3589" t="inlineStr">
        <is>
          <t>VÄSTRA GÖTALANDS LÄN</t>
        </is>
      </c>
      <c r="E3589" t="inlineStr">
        <is>
          <t>FALKÖPING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56493-2021</t>
        </is>
      </c>
      <c r="B3590" s="1" t="n">
        <v>44480.57173611111</v>
      </c>
      <c r="C3590" s="1" t="n">
        <v>46011</v>
      </c>
      <c r="D3590" t="inlineStr">
        <is>
          <t>VÄSTRA GÖTALANDS LÄN</t>
        </is>
      </c>
      <c r="E3590" t="inlineStr">
        <is>
          <t>ALE</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28175-2024</t>
        </is>
      </c>
      <c r="B3591" s="1" t="n">
        <v>45476.96253472222</v>
      </c>
      <c r="C3591" s="1" t="n">
        <v>46011</v>
      </c>
      <c r="D3591" t="inlineStr">
        <is>
          <t>VÄSTRA GÖTALANDS LÄN</t>
        </is>
      </c>
      <c r="E3591" t="inlineStr">
        <is>
          <t>BENGTSFORS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22279-2024</t>
        </is>
      </c>
      <c r="B3592" s="1" t="n">
        <v>45446</v>
      </c>
      <c r="C3592" s="1" t="n">
        <v>46011</v>
      </c>
      <c r="D3592" t="inlineStr">
        <is>
          <t>VÄSTRA GÖTALANDS LÄN</t>
        </is>
      </c>
      <c r="E3592" t="inlineStr">
        <is>
          <t>ESSUNGA</t>
        </is>
      </c>
      <c r="F3592" t="inlineStr">
        <is>
          <t>Allmännings- och besparingsskogar</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22283-2024</t>
        </is>
      </c>
      <c r="B3593" s="1" t="n">
        <v>45446</v>
      </c>
      <c r="C3593" s="1" t="n">
        <v>46011</v>
      </c>
      <c r="D3593" t="inlineStr">
        <is>
          <t>VÄSTRA GÖTALANDS LÄN</t>
        </is>
      </c>
      <c r="E3593" t="inlineStr">
        <is>
          <t>ESSUNGA</t>
        </is>
      </c>
      <c r="F3593" t="inlineStr">
        <is>
          <t>Allmännings- och besparingsskogar</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22290-2024</t>
        </is>
      </c>
      <c r="B3594" s="1" t="n">
        <v>45446</v>
      </c>
      <c r="C3594" s="1" t="n">
        <v>46011</v>
      </c>
      <c r="D3594" t="inlineStr">
        <is>
          <t>VÄSTRA GÖTALANDS LÄN</t>
        </is>
      </c>
      <c r="E3594" t="inlineStr">
        <is>
          <t>HERRLJUNGA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45464-2024</t>
        </is>
      </c>
      <c r="B3595" s="1" t="n">
        <v>45576.70123842593</v>
      </c>
      <c r="C3595" s="1" t="n">
        <v>46011</v>
      </c>
      <c r="D3595" t="inlineStr">
        <is>
          <t>VÄSTRA GÖTALANDS LÄN</t>
        </is>
      </c>
      <c r="E3595" t="inlineStr">
        <is>
          <t>TIDAHOLM</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18448-2025</t>
        </is>
      </c>
      <c r="B3596" s="1" t="n">
        <v>45762.66334490741</v>
      </c>
      <c r="C3596" s="1" t="n">
        <v>46011</v>
      </c>
      <c r="D3596" t="inlineStr">
        <is>
          <t>VÄSTRA GÖTALANDS LÄN</t>
        </is>
      </c>
      <c r="E3596" t="inlineStr">
        <is>
          <t>TRANEMO</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11104-2024</t>
        </is>
      </c>
      <c r="B3597" s="1" t="n">
        <v>45371.32724537037</v>
      </c>
      <c r="C3597" s="1" t="n">
        <v>46011</v>
      </c>
      <c r="D3597" t="inlineStr">
        <is>
          <t>VÄSTRA GÖTALANDS LÄN</t>
        </is>
      </c>
      <c r="E3597" t="inlineStr">
        <is>
          <t>LILLA EDET</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7290-2021</t>
        </is>
      </c>
      <c r="B3598" s="1" t="n">
        <v>44238</v>
      </c>
      <c r="C3598" s="1" t="n">
        <v>46011</v>
      </c>
      <c r="D3598" t="inlineStr">
        <is>
          <t>VÄSTRA GÖTALANDS LÄN</t>
        </is>
      </c>
      <c r="E3598" t="inlineStr">
        <is>
          <t>TRANEMO</t>
        </is>
      </c>
      <c r="F3598" t="inlineStr">
        <is>
          <t>Kyrkan</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15363-2024</t>
        </is>
      </c>
      <c r="B3599" s="1" t="n">
        <v>45400.9152662037</v>
      </c>
      <c r="C3599" s="1" t="n">
        <v>46011</v>
      </c>
      <c r="D3599" t="inlineStr">
        <is>
          <t>VÄSTRA GÖTALANDS LÄN</t>
        </is>
      </c>
      <c r="E3599" t="inlineStr">
        <is>
          <t>DALS-ED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49621-2022</t>
        </is>
      </c>
      <c r="B3600" s="1" t="n">
        <v>44862.42416666666</v>
      </c>
      <c r="C3600" s="1" t="n">
        <v>46011</v>
      </c>
      <c r="D3600" t="inlineStr">
        <is>
          <t>VÄSTRA GÖTALANDS LÄN</t>
        </is>
      </c>
      <c r="E3600" t="inlineStr">
        <is>
          <t>GRÄSTORP</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30159-2021</t>
        </is>
      </c>
      <c r="B3601" s="1" t="n">
        <v>44363</v>
      </c>
      <c r="C3601" s="1" t="n">
        <v>46011</v>
      </c>
      <c r="D3601" t="inlineStr">
        <is>
          <t>VÄSTRA GÖTALANDS LÄN</t>
        </is>
      </c>
      <c r="E3601" t="inlineStr">
        <is>
          <t>MARK</t>
        </is>
      </c>
      <c r="F3601" t="inlineStr">
        <is>
          <t>Kyrkan</t>
        </is>
      </c>
      <c r="G3601" t="n">
        <v>13.2</v>
      </c>
      <c r="H3601" t="n">
        <v>0</v>
      </c>
      <c r="I3601" t="n">
        <v>0</v>
      </c>
      <c r="J3601" t="n">
        <v>0</v>
      </c>
      <c r="K3601" t="n">
        <v>0</v>
      </c>
      <c r="L3601" t="n">
        <v>0</v>
      </c>
      <c r="M3601" t="n">
        <v>0</v>
      </c>
      <c r="N3601" t="n">
        <v>0</v>
      </c>
      <c r="O3601" t="n">
        <v>0</v>
      </c>
      <c r="P3601" t="n">
        <v>0</v>
      </c>
      <c r="Q3601" t="n">
        <v>0</v>
      </c>
      <c r="R3601" s="2" t="inlineStr"/>
    </row>
    <row r="3602" ht="15" customHeight="1">
      <c r="A3602" t="inlineStr">
        <is>
          <t>A 18506-2025</t>
        </is>
      </c>
      <c r="B3602" s="1" t="n">
        <v>45763.37650462963</v>
      </c>
      <c r="C3602" s="1" t="n">
        <v>46011</v>
      </c>
      <c r="D3602" t="inlineStr">
        <is>
          <t>VÄSTRA GÖTALANDS LÄN</t>
        </is>
      </c>
      <c r="E3602" t="inlineStr">
        <is>
          <t>TRANEMO</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30231-2024</t>
        </is>
      </c>
      <c r="B3603" s="1" t="n">
        <v>45490.47797453704</v>
      </c>
      <c r="C3603" s="1" t="n">
        <v>46011</v>
      </c>
      <c r="D3603" t="inlineStr">
        <is>
          <t>VÄSTRA GÖTALANDS LÄN</t>
        </is>
      </c>
      <c r="E3603" t="inlineStr">
        <is>
          <t>MARK</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30232-2024</t>
        </is>
      </c>
      <c r="B3604" s="1" t="n">
        <v>45490.4799537037</v>
      </c>
      <c r="C3604" s="1" t="n">
        <v>46011</v>
      </c>
      <c r="D3604" t="inlineStr">
        <is>
          <t>VÄSTRA GÖTALANDS LÄN</t>
        </is>
      </c>
      <c r="E3604" t="inlineStr">
        <is>
          <t>MARK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30250-2024</t>
        </is>
      </c>
      <c r="B3605" s="1" t="n">
        <v>45490.55439814815</v>
      </c>
      <c r="C3605" s="1" t="n">
        <v>46011</v>
      </c>
      <c r="D3605" t="inlineStr">
        <is>
          <t>VÄSTRA GÖTALANDS LÄN</t>
        </is>
      </c>
      <c r="E3605" t="inlineStr">
        <is>
          <t>MARK</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42640-2021</t>
        </is>
      </c>
      <c r="B3606" s="1" t="n">
        <v>44428.45159722222</v>
      </c>
      <c r="C3606" s="1" t="n">
        <v>46011</v>
      </c>
      <c r="D3606" t="inlineStr">
        <is>
          <t>VÄSTRA GÖTALANDS LÄN</t>
        </is>
      </c>
      <c r="E3606" t="inlineStr">
        <is>
          <t>BENGTSFORS</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65946-2021</t>
        </is>
      </c>
      <c r="B3607" s="1" t="n">
        <v>44517</v>
      </c>
      <c r="C3607" s="1" t="n">
        <v>46011</v>
      </c>
      <c r="D3607" t="inlineStr">
        <is>
          <t>VÄSTRA GÖTALANDS LÄN</t>
        </is>
      </c>
      <c r="E3607" t="inlineStr">
        <is>
          <t>VÅRGÅRDA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58755-2022</t>
        </is>
      </c>
      <c r="B3608" s="1" t="n">
        <v>44903</v>
      </c>
      <c r="C3608" s="1" t="n">
        <v>46011</v>
      </c>
      <c r="D3608" t="inlineStr">
        <is>
          <t>VÄSTRA GÖTALANDS LÄN</t>
        </is>
      </c>
      <c r="E3608" t="inlineStr">
        <is>
          <t>TÖREBODA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23441-2021</t>
        </is>
      </c>
      <c r="B3609" s="1" t="n">
        <v>44333</v>
      </c>
      <c r="C3609" s="1" t="n">
        <v>46011</v>
      </c>
      <c r="D3609" t="inlineStr">
        <is>
          <t>VÄSTRA GÖTALANDS LÄN</t>
        </is>
      </c>
      <c r="E3609" t="inlineStr">
        <is>
          <t>VÄNERSBORG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32799-2024</t>
        </is>
      </c>
      <c r="B3610" s="1" t="n">
        <v>45516.56393518519</v>
      </c>
      <c r="C3610" s="1" t="n">
        <v>46011</v>
      </c>
      <c r="D3610" t="inlineStr">
        <is>
          <t>VÄSTRA GÖTALANDS LÄN</t>
        </is>
      </c>
      <c r="E3610" t="inlineStr">
        <is>
          <t>MARIESTAD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25880-2024</t>
        </is>
      </c>
      <c r="B3611" s="1" t="n">
        <v>45467.48980324074</v>
      </c>
      <c r="C3611" s="1" t="n">
        <v>46011</v>
      </c>
      <c r="D3611" t="inlineStr">
        <is>
          <t>VÄSTRA GÖTALANDS LÄN</t>
        </is>
      </c>
      <c r="E3611" t="inlineStr">
        <is>
          <t>TRANEMO</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25901-2024</t>
        </is>
      </c>
      <c r="B3612" s="1" t="n">
        <v>45467.56039351852</v>
      </c>
      <c r="C3612" s="1" t="n">
        <v>46011</v>
      </c>
      <c r="D3612" t="inlineStr">
        <is>
          <t>VÄSTRA GÖTALANDS LÄN</t>
        </is>
      </c>
      <c r="E3612" t="inlineStr">
        <is>
          <t>ULRICEHAMN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30103-2024</t>
        </is>
      </c>
      <c r="B3613" s="1" t="n">
        <v>45489.43810185185</v>
      </c>
      <c r="C3613" s="1" t="n">
        <v>46011</v>
      </c>
      <c r="D3613" t="inlineStr">
        <is>
          <t>VÄSTRA GÖTALANDS LÄN</t>
        </is>
      </c>
      <c r="E3613" t="inlineStr">
        <is>
          <t>SVENLJUNGA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65961-2021</t>
        </is>
      </c>
      <c r="B3614" s="1" t="n">
        <v>44517</v>
      </c>
      <c r="C3614" s="1" t="n">
        <v>46011</v>
      </c>
      <c r="D3614" t="inlineStr">
        <is>
          <t>VÄSTRA GÖTALANDS LÄN</t>
        </is>
      </c>
      <c r="E3614" t="inlineStr">
        <is>
          <t>SVENLJUNGA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34356-2023</t>
        </is>
      </c>
      <c r="B3615" s="1" t="n">
        <v>45139</v>
      </c>
      <c r="C3615" s="1" t="n">
        <v>46011</v>
      </c>
      <c r="D3615" t="inlineStr">
        <is>
          <t>VÄSTRA GÖTALANDS LÄN</t>
        </is>
      </c>
      <c r="E3615" t="inlineStr">
        <is>
          <t>TROLLHÄTTAN</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41765-2021</t>
        </is>
      </c>
      <c r="B3616" s="1" t="n">
        <v>44425</v>
      </c>
      <c r="C3616" s="1" t="n">
        <v>46011</v>
      </c>
      <c r="D3616" t="inlineStr">
        <is>
          <t>VÄSTRA GÖTALANDS LÄN</t>
        </is>
      </c>
      <c r="E3616" t="inlineStr">
        <is>
          <t>KUNGÄLV</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58990-2022</t>
        </is>
      </c>
      <c r="B3617" s="1" t="n">
        <v>44903</v>
      </c>
      <c r="C3617" s="1" t="n">
        <v>46011</v>
      </c>
      <c r="D3617" t="inlineStr">
        <is>
          <t>VÄSTRA GÖTALANDS LÄN</t>
        </is>
      </c>
      <c r="E3617" t="inlineStr">
        <is>
          <t>ALINGSÅS</t>
        </is>
      </c>
      <c r="F3617" t="inlineStr">
        <is>
          <t>Kyrkan</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72655-2021</t>
        </is>
      </c>
      <c r="B3618" s="1" t="n">
        <v>44546</v>
      </c>
      <c r="C3618" s="1" t="n">
        <v>46011</v>
      </c>
      <c r="D3618" t="inlineStr">
        <is>
          <t>VÄSTRA GÖTALANDS LÄN</t>
        </is>
      </c>
      <c r="E3618" t="inlineStr">
        <is>
          <t>FÄRGELANDA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30228-2024</t>
        </is>
      </c>
      <c r="B3619" s="1" t="n">
        <v>45490.46703703704</v>
      </c>
      <c r="C3619" s="1" t="n">
        <v>46011</v>
      </c>
      <c r="D3619" t="inlineStr">
        <is>
          <t>VÄSTRA GÖTALANDS LÄN</t>
        </is>
      </c>
      <c r="E3619" t="inlineStr">
        <is>
          <t>TANUM</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26164-2024</t>
        </is>
      </c>
      <c r="B3620" s="1" t="n">
        <v>45468.55118055556</v>
      </c>
      <c r="C3620" s="1" t="n">
        <v>46011</v>
      </c>
      <c r="D3620" t="inlineStr">
        <is>
          <t>VÄSTRA GÖTALANDS LÄN</t>
        </is>
      </c>
      <c r="E3620" t="inlineStr">
        <is>
          <t>ALINGSÅS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5875-2023</t>
        </is>
      </c>
      <c r="B3621" s="1" t="n">
        <v>44963</v>
      </c>
      <c r="C3621" s="1" t="n">
        <v>46011</v>
      </c>
      <c r="D3621" t="inlineStr">
        <is>
          <t>VÄSTRA GÖTALANDS LÄN</t>
        </is>
      </c>
      <c r="E3621" t="inlineStr">
        <is>
          <t>ALE</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45988-2021</t>
        </is>
      </c>
      <c r="B3622" s="1" t="n">
        <v>44441</v>
      </c>
      <c r="C3622" s="1" t="n">
        <v>46011</v>
      </c>
      <c r="D3622" t="inlineStr">
        <is>
          <t>VÄSTRA GÖTALANDS LÄN</t>
        </is>
      </c>
      <c r="E3622" t="inlineStr">
        <is>
          <t>ALE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26631-2021</t>
        </is>
      </c>
      <c r="B3623" s="1" t="n">
        <v>44348.67560185185</v>
      </c>
      <c r="C3623" s="1" t="n">
        <v>46011</v>
      </c>
      <c r="D3623" t="inlineStr">
        <is>
          <t>VÄSTRA GÖTALANDS LÄN</t>
        </is>
      </c>
      <c r="E3623" t="inlineStr">
        <is>
          <t>VARA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54287-2022</t>
        </is>
      </c>
      <c r="B3624" s="1" t="n">
        <v>44882.37096064815</v>
      </c>
      <c r="C3624" s="1" t="n">
        <v>46011</v>
      </c>
      <c r="D3624" t="inlineStr">
        <is>
          <t>VÄSTRA GÖTALANDS LÄN</t>
        </is>
      </c>
      <c r="E3624" t="inlineStr">
        <is>
          <t>BOLLEBYGD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56429-2022</t>
        </is>
      </c>
      <c r="B3625" s="1" t="n">
        <v>44891.458125</v>
      </c>
      <c r="C3625" s="1" t="n">
        <v>46011</v>
      </c>
      <c r="D3625" t="inlineStr">
        <is>
          <t>VÄSTRA GÖTALANDS LÄN</t>
        </is>
      </c>
      <c r="E3625" t="inlineStr">
        <is>
          <t>ESSUNGA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60654-2021</t>
        </is>
      </c>
      <c r="B3626" s="1" t="n">
        <v>44496</v>
      </c>
      <c r="C3626" s="1" t="n">
        <v>46011</v>
      </c>
      <c r="D3626" t="inlineStr">
        <is>
          <t>VÄSTRA GÖTALANDS LÄN</t>
        </is>
      </c>
      <c r="E3626" t="inlineStr">
        <is>
          <t>SKARA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3440-2024</t>
        </is>
      </c>
      <c r="B3627" s="1" t="n">
        <v>45320</v>
      </c>
      <c r="C3627" s="1" t="n">
        <v>46011</v>
      </c>
      <c r="D3627" t="inlineStr">
        <is>
          <t>VÄSTRA GÖTALANDS LÄN</t>
        </is>
      </c>
      <c r="E3627" t="inlineStr">
        <is>
          <t>ULRICEHAMN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21875-2024</t>
        </is>
      </c>
      <c r="B3628" s="1" t="n">
        <v>45443.38331018519</v>
      </c>
      <c r="C3628" s="1" t="n">
        <v>46011</v>
      </c>
      <c r="D3628" t="inlineStr">
        <is>
          <t>VÄSTRA GÖTALANDS LÄN</t>
        </is>
      </c>
      <c r="E3628" t="inlineStr">
        <is>
          <t>VÅRGÅRDA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35440-2024</t>
        </is>
      </c>
      <c r="B3629" s="1" t="n">
        <v>45531</v>
      </c>
      <c r="C3629" s="1" t="n">
        <v>46011</v>
      </c>
      <c r="D3629" t="inlineStr">
        <is>
          <t>VÄSTRA GÖTALANDS LÄN</t>
        </is>
      </c>
      <c r="E3629" t="inlineStr">
        <is>
          <t>TANUM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35448-2024</t>
        </is>
      </c>
      <c r="B3630" s="1" t="n">
        <v>45531</v>
      </c>
      <c r="C3630" s="1" t="n">
        <v>46011</v>
      </c>
      <c r="D3630" t="inlineStr">
        <is>
          <t>VÄSTRA GÖTALANDS LÄN</t>
        </is>
      </c>
      <c r="E3630" t="inlineStr">
        <is>
          <t>TÖREBODA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56629-2021</t>
        </is>
      </c>
      <c r="B3631" s="1" t="n">
        <v>44480.84695601852</v>
      </c>
      <c r="C3631" s="1" t="n">
        <v>46011</v>
      </c>
      <c r="D3631" t="inlineStr">
        <is>
          <t>VÄSTRA GÖTALANDS LÄN</t>
        </is>
      </c>
      <c r="E3631" t="inlineStr">
        <is>
          <t>ESSUNGA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33299-2023</t>
        </is>
      </c>
      <c r="B3632" s="1" t="n">
        <v>45116</v>
      </c>
      <c r="C3632" s="1" t="n">
        <v>46011</v>
      </c>
      <c r="D3632" t="inlineStr">
        <is>
          <t>VÄSTRA GÖTALANDS LÄN</t>
        </is>
      </c>
      <c r="E3632" t="inlineStr">
        <is>
          <t>VARA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9834-2023</t>
        </is>
      </c>
      <c r="B3633" s="1" t="n">
        <v>44984.78379629629</v>
      </c>
      <c r="C3633" s="1" t="n">
        <v>46011</v>
      </c>
      <c r="D3633" t="inlineStr">
        <is>
          <t>VÄSTRA GÖTALANDS LÄN</t>
        </is>
      </c>
      <c r="E3633" t="inlineStr">
        <is>
          <t>HERRLJUNGA</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28588-2024</t>
        </is>
      </c>
      <c r="B3634" s="1" t="n">
        <v>45478.41396990741</v>
      </c>
      <c r="C3634" s="1" t="n">
        <v>46011</v>
      </c>
      <c r="D3634" t="inlineStr">
        <is>
          <t>VÄSTRA GÖTALANDS LÄN</t>
        </is>
      </c>
      <c r="E3634" t="inlineStr">
        <is>
          <t>DALS-ED</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32728-2024</t>
        </is>
      </c>
      <c r="B3635" s="1" t="n">
        <v>45516</v>
      </c>
      <c r="C3635" s="1" t="n">
        <v>46011</v>
      </c>
      <c r="D3635" t="inlineStr">
        <is>
          <t>VÄSTRA GÖTALANDS LÄN</t>
        </is>
      </c>
      <c r="E3635" t="inlineStr">
        <is>
          <t>BENGTSFORS</t>
        </is>
      </c>
      <c r="F3635" t="inlineStr">
        <is>
          <t>Kyrkan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49409-2022</t>
        </is>
      </c>
      <c r="B3636" s="1" t="n">
        <v>44861.63327546296</v>
      </c>
      <c r="C3636" s="1" t="n">
        <v>46011</v>
      </c>
      <c r="D3636" t="inlineStr">
        <is>
          <t>VÄSTRA GÖTALANDS LÄN</t>
        </is>
      </c>
      <c r="E3636" t="inlineStr">
        <is>
          <t>BENGTSFORS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57489-2022</t>
        </is>
      </c>
      <c r="B3637" s="1" t="n">
        <v>44896</v>
      </c>
      <c r="C3637" s="1" t="n">
        <v>46011</v>
      </c>
      <c r="D3637" t="inlineStr">
        <is>
          <t>VÄSTRA GÖTALANDS LÄN</t>
        </is>
      </c>
      <c r="E3637" t="inlineStr">
        <is>
          <t>ALINGSÅS</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24363-2024</t>
        </is>
      </c>
      <c r="B3638" s="1" t="n">
        <v>45457.60121527778</v>
      </c>
      <c r="C3638" s="1" t="n">
        <v>46011</v>
      </c>
      <c r="D3638" t="inlineStr">
        <is>
          <t>VÄSTRA GÖTALANDS LÄN</t>
        </is>
      </c>
      <c r="E3638" t="inlineStr">
        <is>
          <t>TÖREBODA</t>
        </is>
      </c>
      <c r="F3638" t="inlineStr">
        <is>
          <t>Övriga statliga verk och myndigheter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18086-2024</t>
        </is>
      </c>
      <c r="B3639" s="1" t="n">
        <v>45420.45701388889</v>
      </c>
      <c r="C3639" s="1" t="n">
        <v>46011</v>
      </c>
      <c r="D3639" t="inlineStr">
        <is>
          <t>VÄSTRA GÖTALANDS LÄN</t>
        </is>
      </c>
      <c r="E3639" t="inlineStr">
        <is>
          <t>BENGTSFORS</t>
        </is>
      </c>
      <c r="G3639" t="n">
        <v>1.3</v>
      </c>
      <c r="H3639" t="n">
        <v>0</v>
      </c>
      <c r="I3639" t="n">
        <v>0</v>
      </c>
      <c r="J3639" t="n">
        <v>0</v>
      </c>
      <c r="K3639" t="n">
        <v>0</v>
      </c>
      <c r="L3639" t="n">
        <v>0</v>
      </c>
      <c r="M3639" t="n">
        <v>0</v>
      </c>
      <c r="N3639" t="n">
        <v>0</v>
      </c>
      <c r="O3639" t="n">
        <v>0</v>
      </c>
      <c r="P3639" t="n">
        <v>0</v>
      </c>
      <c r="Q3639" t="n">
        <v>0</v>
      </c>
      <c r="R3639" s="2" t="inlineStr"/>
      <c r="U3639">
        <f>HYPERLINK("https://klasma.github.io/Logging_1460/knärot/A 18086-2024 karta knärot.png", "A 18086-2024")</f>
        <v/>
      </c>
      <c r="V3639">
        <f>HYPERLINK("https://klasma.github.io/Logging_1460/klagomål/A 18086-2024 FSC-klagomål.docx", "A 18086-2024")</f>
        <v/>
      </c>
      <c r="W3639">
        <f>HYPERLINK("https://klasma.github.io/Logging_1460/klagomålsmail/A 18086-2024 FSC-klagomål mail.docx", "A 18086-2024")</f>
        <v/>
      </c>
      <c r="X3639">
        <f>HYPERLINK("https://klasma.github.io/Logging_1460/tillsyn/A 18086-2024 tillsynsbegäran.docx", "A 18086-2024")</f>
        <v/>
      </c>
      <c r="Y3639">
        <f>HYPERLINK("https://klasma.github.io/Logging_1460/tillsynsmail/A 18086-2024 tillsynsbegäran mail.docx", "A 18086-2024")</f>
        <v/>
      </c>
    </row>
    <row r="3640" ht="15" customHeight="1">
      <c r="A3640" t="inlineStr">
        <is>
          <t>A 2708-2024</t>
        </is>
      </c>
      <c r="B3640" s="1" t="n">
        <v>45314</v>
      </c>
      <c r="C3640" s="1" t="n">
        <v>46011</v>
      </c>
      <c r="D3640" t="inlineStr">
        <is>
          <t>VÄSTRA GÖTALANDS LÄN</t>
        </is>
      </c>
      <c r="E3640" t="inlineStr">
        <is>
          <t>SKÖVDE</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17678-2024</t>
        </is>
      </c>
      <c r="B3641" s="1" t="n">
        <v>45418.39914351852</v>
      </c>
      <c r="C3641" s="1" t="n">
        <v>46011</v>
      </c>
      <c r="D3641" t="inlineStr">
        <is>
          <t>VÄSTRA GÖTALANDS LÄN</t>
        </is>
      </c>
      <c r="E3641" t="inlineStr">
        <is>
          <t>MUNKEDAL</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27644-2023</t>
        </is>
      </c>
      <c r="B3642" s="1" t="n">
        <v>45097</v>
      </c>
      <c r="C3642" s="1" t="n">
        <v>46011</v>
      </c>
      <c r="D3642" t="inlineStr">
        <is>
          <t>VÄSTRA GÖTALANDS LÄN</t>
        </is>
      </c>
      <c r="E3642" t="inlineStr">
        <is>
          <t>MUNKEDAL</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25085-2024</t>
        </is>
      </c>
      <c r="B3643" s="1" t="n">
        <v>45462.39026620371</v>
      </c>
      <c r="C3643" s="1" t="n">
        <v>46011</v>
      </c>
      <c r="D3643" t="inlineStr">
        <is>
          <t>VÄSTRA GÖTALANDS LÄN</t>
        </is>
      </c>
      <c r="E3643" t="inlineStr">
        <is>
          <t>FALKÖPING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49700-2021</t>
        </is>
      </c>
      <c r="B3644" s="1" t="n">
        <v>44455</v>
      </c>
      <c r="C3644" s="1" t="n">
        <v>46011</v>
      </c>
      <c r="D3644" t="inlineStr">
        <is>
          <t>VÄSTRA GÖTALANDS LÄN</t>
        </is>
      </c>
      <c r="E3644" t="inlineStr">
        <is>
          <t>GÖTENE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2319-2024</t>
        </is>
      </c>
      <c r="B3645" s="1" t="n">
        <v>45310</v>
      </c>
      <c r="C3645" s="1" t="n">
        <v>46011</v>
      </c>
      <c r="D3645" t="inlineStr">
        <is>
          <t>VÄSTRA GÖTALANDS LÄN</t>
        </is>
      </c>
      <c r="E3645" t="inlineStr">
        <is>
          <t>BENGTSFORS</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1555-2022</t>
        </is>
      </c>
      <c r="B3646" s="1" t="n">
        <v>44573.62219907407</v>
      </c>
      <c r="C3646" s="1" t="n">
        <v>46011</v>
      </c>
      <c r="D3646" t="inlineStr">
        <is>
          <t>VÄSTRA GÖTALANDS LÄN</t>
        </is>
      </c>
      <c r="E3646" t="inlineStr">
        <is>
          <t>TANUM</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59734-2023</t>
        </is>
      </c>
      <c r="B3647" s="1" t="n">
        <v>45257.36528935185</v>
      </c>
      <c r="C3647" s="1" t="n">
        <v>46011</v>
      </c>
      <c r="D3647" t="inlineStr">
        <is>
          <t>VÄSTRA GÖTALANDS LÄN</t>
        </is>
      </c>
      <c r="E3647" t="inlineStr">
        <is>
          <t>TRANEMO</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22402-2024</t>
        </is>
      </c>
      <c r="B3648" s="1" t="n">
        <v>45446.6730787037</v>
      </c>
      <c r="C3648" s="1" t="n">
        <v>46011</v>
      </c>
      <c r="D3648" t="inlineStr">
        <is>
          <t>VÄSTRA GÖTALANDS LÄN</t>
        </is>
      </c>
      <c r="E3648" t="inlineStr">
        <is>
          <t>VÄNERSBORG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36093-2024</t>
        </is>
      </c>
      <c r="B3649" s="1" t="n">
        <v>45533.69211805556</v>
      </c>
      <c r="C3649" s="1" t="n">
        <v>46011</v>
      </c>
      <c r="D3649" t="inlineStr">
        <is>
          <t>VÄSTRA GÖTALANDS LÄN</t>
        </is>
      </c>
      <c r="E3649" t="inlineStr">
        <is>
          <t>MARK</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25749-2024</t>
        </is>
      </c>
      <c r="B3650" s="1" t="n">
        <v>45465.44537037037</v>
      </c>
      <c r="C3650" s="1" t="n">
        <v>46011</v>
      </c>
      <c r="D3650" t="inlineStr">
        <is>
          <t>VÄSTRA GÖTALANDS LÄN</t>
        </is>
      </c>
      <c r="E3650" t="inlineStr">
        <is>
          <t>ALINGSÅS</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25815-2024</t>
        </is>
      </c>
      <c r="B3651" s="1" t="n">
        <v>45467.37991898148</v>
      </c>
      <c r="C3651" s="1" t="n">
        <v>46011</v>
      </c>
      <c r="D3651" t="inlineStr">
        <is>
          <t>VÄSTRA GÖTALANDS LÄN</t>
        </is>
      </c>
      <c r="E3651" t="inlineStr">
        <is>
          <t>TRANEMO</t>
        </is>
      </c>
      <c r="G3651" t="n">
        <v>7.4</v>
      </c>
      <c r="H3651" t="n">
        <v>0</v>
      </c>
      <c r="I3651" t="n">
        <v>0</v>
      </c>
      <c r="J3651" t="n">
        <v>0</v>
      </c>
      <c r="K3651" t="n">
        <v>0</v>
      </c>
      <c r="L3651" t="n">
        <v>0</v>
      </c>
      <c r="M3651" t="n">
        <v>0</v>
      </c>
      <c r="N3651" t="n">
        <v>0</v>
      </c>
      <c r="O3651" t="n">
        <v>0</v>
      </c>
      <c r="P3651" t="n">
        <v>0</v>
      </c>
      <c r="Q3651" t="n">
        <v>0</v>
      </c>
      <c r="R3651" s="2" t="inlineStr"/>
    </row>
    <row r="3652" ht="15" customHeight="1">
      <c r="A3652" t="inlineStr">
        <is>
          <t>A 64177-2023</t>
        </is>
      </c>
      <c r="B3652" s="1" t="n">
        <v>45279</v>
      </c>
      <c r="C3652" s="1" t="n">
        <v>46011</v>
      </c>
      <c r="D3652" t="inlineStr">
        <is>
          <t>VÄSTRA GÖTALANDS LÄN</t>
        </is>
      </c>
      <c r="E3652" t="inlineStr">
        <is>
          <t>DALS-ED</t>
        </is>
      </c>
      <c r="F3652" t="inlineStr">
        <is>
          <t>Bergvik skog väst AB</t>
        </is>
      </c>
      <c r="G3652" t="n">
        <v>18.6</v>
      </c>
      <c r="H3652" t="n">
        <v>0</v>
      </c>
      <c r="I3652" t="n">
        <v>0</v>
      </c>
      <c r="J3652" t="n">
        <v>0</v>
      </c>
      <c r="K3652" t="n">
        <v>0</v>
      </c>
      <c r="L3652" t="n">
        <v>0</v>
      </c>
      <c r="M3652" t="n">
        <v>0</v>
      </c>
      <c r="N3652" t="n">
        <v>0</v>
      </c>
      <c r="O3652" t="n">
        <v>0</v>
      </c>
      <c r="P3652" t="n">
        <v>0</v>
      </c>
      <c r="Q3652" t="n">
        <v>0</v>
      </c>
      <c r="R3652" s="2" t="inlineStr"/>
    </row>
    <row r="3653" ht="15" customHeight="1">
      <c r="A3653" t="inlineStr">
        <is>
          <t>A 26567-2024</t>
        </is>
      </c>
      <c r="B3653" s="1" t="n">
        <v>45469</v>
      </c>
      <c r="C3653" s="1" t="n">
        <v>46011</v>
      </c>
      <c r="D3653" t="inlineStr">
        <is>
          <t>VÄSTRA GÖTALANDS LÄN</t>
        </is>
      </c>
      <c r="E3653" t="inlineStr">
        <is>
          <t>SKARA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13719-2025</t>
        </is>
      </c>
      <c r="B3654" s="1" t="n">
        <v>45737.36446759259</v>
      </c>
      <c r="C3654" s="1" t="n">
        <v>46011</v>
      </c>
      <c r="D3654" t="inlineStr">
        <is>
          <t>VÄSTRA GÖTALANDS LÄN</t>
        </is>
      </c>
      <c r="E3654" t="inlineStr">
        <is>
          <t>GULLSPÅNG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53888-2023</t>
        </is>
      </c>
      <c r="B3655" s="1" t="n">
        <v>45231</v>
      </c>
      <c r="C3655" s="1" t="n">
        <v>46011</v>
      </c>
      <c r="D3655" t="inlineStr">
        <is>
          <t>VÄSTRA GÖTALANDS LÄN</t>
        </is>
      </c>
      <c r="E3655" t="inlineStr">
        <is>
          <t>MUNKEDAL</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1641-2024</t>
        </is>
      </c>
      <c r="B3656" s="1" t="n">
        <v>45306.66873842593</v>
      </c>
      <c r="C3656" s="1" t="n">
        <v>46011</v>
      </c>
      <c r="D3656" t="inlineStr">
        <is>
          <t>VÄSTRA GÖTALANDS LÄN</t>
        </is>
      </c>
      <c r="E3656" t="inlineStr">
        <is>
          <t>SKÖVDE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23956-2025</t>
        </is>
      </c>
      <c r="B3657" s="1" t="n">
        <v>45796.36421296297</v>
      </c>
      <c r="C3657" s="1" t="n">
        <v>46011</v>
      </c>
      <c r="D3657" t="inlineStr">
        <is>
          <t>VÄSTRA GÖTALANDS LÄN</t>
        </is>
      </c>
      <c r="E3657" t="inlineStr">
        <is>
          <t>DALS-ED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35726-2023</t>
        </is>
      </c>
      <c r="B3658" s="1" t="n">
        <v>45147.78840277778</v>
      </c>
      <c r="C3658" s="1" t="n">
        <v>46011</v>
      </c>
      <c r="D3658" t="inlineStr">
        <is>
          <t>VÄSTRA GÖTALANDS LÄN</t>
        </is>
      </c>
      <c r="E3658" t="inlineStr">
        <is>
          <t>MARK</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35734-2023</t>
        </is>
      </c>
      <c r="B3659" s="1" t="n">
        <v>45147.89258101852</v>
      </c>
      <c r="C3659" s="1" t="n">
        <v>46011</v>
      </c>
      <c r="D3659" t="inlineStr">
        <is>
          <t>VÄSTRA GÖTALANDS LÄN</t>
        </is>
      </c>
      <c r="E3659" t="inlineStr">
        <is>
          <t>PARTILLE</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48599-2024</t>
        </is>
      </c>
      <c r="B3660" s="1" t="n">
        <v>45593.44611111111</v>
      </c>
      <c r="C3660" s="1" t="n">
        <v>46011</v>
      </c>
      <c r="D3660" t="inlineStr">
        <is>
          <t>VÄSTRA GÖTALANDS LÄN</t>
        </is>
      </c>
      <c r="E3660" t="inlineStr">
        <is>
          <t>ULRICEHAMN</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3249-2023</t>
        </is>
      </c>
      <c r="B3661" s="1" t="n">
        <v>44947</v>
      </c>
      <c r="C3661" s="1" t="n">
        <v>46011</v>
      </c>
      <c r="D3661" t="inlineStr">
        <is>
          <t>VÄSTRA GÖTALANDS LÄN</t>
        </is>
      </c>
      <c r="E3661" t="inlineStr">
        <is>
          <t>TRANEMO</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24093-2025</t>
        </is>
      </c>
      <c r="B3662" s="1" t="n">
        <v>45796.57332175926</v>
      </c>
      <c r="C3662" s="1" t="n">
        <v>46011</v>
      </c>
      <c r="D3662" t="inlineStr">
        <is>
          <t>VÄSTRA GÖTALANDS LÄN</t>
        </is>
      </c>
      <c r="E3662" t="inlineStr">
        <is>
          <t>TRANEMO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40354-2022</t>
        </is>
      </c>
      <c r="B3663" s="1" t="n">
        <v>44823.37871527778</v>
      </c>
      <c r="C3663" s="1" t="n">
        <v>46011</v>
      </c>
      <c r="D3663" t="inlineStr">
        <is>
          <t>VÄSTRA GÖTALANDS LÄN</t>
        </is>
      </c>
      <c r="E3663" t="inlineStr">
        <is>
          <t>DALS-ED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28758-2021</t>
        </is>
      </c>
      <c r="B3664" s="1" t="n">
        <v>44357</v>
      </c>
      <c r="C3664" s="1" t="n">
        <v>46011</v>
      </c>
      <c r="D3664" t="inlineStr">
        <is>
          <t>VÄSTRA GÖTALANDS LÄN</t>
        </is>
      </c>
      <c r="E3664" t="inlineStr">
        <is>
          <t>MUNKEDAL</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23682-2024</t>
        </is>
      </c>
      <c r="B3665" s="1" t="n">
        <v>45454.62754629629</v>
      </c>
      <c r="C3665" s="1" t="n">
        <v>46011</v>
      </c>
      <c r="D3665" t="inlineStr">
        <is>
          <t>VÄSTRA GÖTALANDS LÄN</t>
        </is>
      </c>
      <c r="E3665" t="inlineStr">
        <is>
          <t>ORUST</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23695-2024</t>
        </is>
      </c>
      <c r="B3666" s="1" t="n">
        <v>45454.66747685185</v>
      </c>
      <c r="C3666" s="1" t="n">
        <v>46011</v>
      </c>
      <c r="D3666" t="inlineStr">
        <is>
          <t>VÄSTRA GÖTALANDS LÄN</t>
        </is>
      </c>
      <c r="E3666" t="inlineStr">
        <is>
          <t>DALS-ED</t>
        </is>
      </c>
      <c r="F3666" t="inlineStr">
        <is>
          <t>Kyrkan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27561-2024</t>
        </is>
      </c>
      <c r="B3667" s="1" t="n">
        <v>45474.63335648148</v>
      </c>
      <c r="C3667" s="1" t="n">
        <v>46011</v>
      </c>
      <c r="D3667" t="inlineStr">
        <is>
          <t>VÄSTRA GÖTALANDS LÄN</t>
        </is>
      </c>
      <c r="E3667" t="inlineStr">
        <is>
          <t>BORÅS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62378-2023</t>
        </is>
      </c>
      <c r="B3668" s="1" t="n">
        <v>45266</v>
      </c>
      <c r="C3668" s="1" t="n">
        <v>46011</v>
      </c>
      <c r="D3668" t="inlineStr">
        <is>
          <t>VÄSTRA GÖTALANDS LÄN</t>
        </is>
      </c>
      <c r="E3668" t="inlineStr">
        <is>
          <t>TROLLHÄTTAN</t>
        </is>
      </c>
      <c r="F3668" t="inlineStr">
        <is>
          <t>Kyrkan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62382-2023</t>
        </is>
      </c>
      <c r="B3669" s="1" t="n">
        <v>45266</v>
      </c>
      <c r="C3669" s="1" t="n">
        <v>46011</v>
      </c>
      <c r="D3669" t="inlineStr">
        <is>
          <t>VÄSTRA GÖTALANDS LÄN</t>
        </is>
      </c>
      <c r="E3669" t="inlineStr">
        <is>
          <t>TROLLHÄTTAN</t>
        </is>
      </c>
      <c r="F3669" t="inlineStr">
        <is>
          <t>Kyrkan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50575-2024</t>
        </is>
      </c>
      <c r="B3670" s="1" t="n">
        <v>45600</v>
      </c>
      <c r="C3670" s="1" t="n">
        <v>46011</v>
      </c>
      <c r="D3670" t="inlineStr">
        <is>
          <t>VÄSTRA GÖTALANDS LÄN</t>
        </is>
      </c>
      <c r="E3670" t="inlineStr">
        <is>
          <t>MARIESTAD</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60084-2023</t>
        </is>
      </c>
      <c r="B3671" s="1" t="n">
        <v>45258</v>
      </c>
      <c r="C3671" s="1" t="n">
        <v>46011</v>
      </c>
      <c r="D3671" t="inlineStr">
        <is>
          <t>VÄSTRA GÖTALANDS LÄN</t>
        </is>
      </c>
      <c r="E3671" t="inlineStr">
        <is>
          <t>ULRICEHAMN</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35069-2023</t>
        </is>
      </c>
      <c r="B3672" s="1" t="n">
        <v>45142</v>
      </c>
      <c r="C3672" s="1" t="n">
        <v>46011</v>
      </c>
      <c r="D3672" t="inlineStr">
        <is>
          <t>VÄSTRA GÖTALANDS LÄN</t>
        </is>
      </c>
      <c r="E3672" t="inlineStr">
        <is>
          <t>SKÖVDE</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64799-2023</t>
        </is>
      </c>
      <c r="B3673" s="1" t="n">
        <v>45282.38482638889</v>
      </c>
      <c r="C3673" s="1" t="n">
        <v>46011</v>
      </c>
      <c r="D3673" t="inlineStr">
        <is>
          <t>VÄSTRA GÖTALANDS LÄN</t>
        </is>
      </c>
      <c r="E3673" t="inlineStr">
        <is>
          <t>TÖREBODA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33902-2021</t>
        </is>
      </c>
      <c r="B3674" s="1" t="n">
        <v>44378</v>
      </c>
      <c r="C3674" s="1" t="n">
        <v>46011</v>
      </c>
      <c r="D3674" t="inlineStr">
        <is>
          <t>VÄSTRA GÖTALANDS LÄN</t>
        </is>
      </c>
      <c r="E3674" t="inlineStr">
        <is>
          <t>MELLERUD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21932-2024</t>
        </is>
      </c>
      <c r="B3675" s="1" t="n">
        <v>45443</v>
      </c>
      <c r="C3675" s="1" t="n">
        <v>46011</v>
      </c>
      <c r="D3675" t="inlineStr">
        <is>
          <t>VÄSTRA GÖTALANDS LÄN</t>
        </is>
      </c>
      <c r="E3675" t="inlineStr">
        <is>
          <t>VÅRGÅRDA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8479-2021</t>
        </is>
      </c>
      <c r="B3676" s="1" t="n">
        <v>44245</v>
      </c>
      <c r="C3676" s="1" t="n">
        <v>46011</v>
      </c>
      <c r="D3676" t="inlineStr">
        <is>
          <t>VÄSTRA GÖTALANDS LÄN</t>
        </is>
      </c>
      <c r="E3676" t="inlineStr">
        <is>
          <t>ÅMÅL</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3575-2025</t>
        </is>
      </c>
      <c r="B3677" s="1" t="n">
        <v>45680.72295138889</v>
      </c>
      <c r="C3677" s="1" t="n">
        <v>46011</v>
      </c>
      <c r="D3677" t="inlineStr">
        <is>
          <t>VÄSTRA GÖTALANDS LÄN</t>
        </is>
      </c>
      <c r="E3677" t="inlineStr">
        <is>
          <t>KARLSBORG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21965-2024</t>
        </is>
      </c>
      <c r="B3678" s="1" t="n">
        <v>45443.50011574074</v>
      </c>
      <c r="C3678" s="1" t="n">
        <v>46011</v>
      </c>
      <c r="D3678" t="inlineStr">
        <is>
          <t>VÄSTRA GÖTALANDS LÄN</t>
        </is>
      </c>
      <c r="E3678" t="inlineStr">
        <is>
          <t>MARIESTAD</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20533-2024</t>
        </is>
      </c>
      <c r="B3679" s="1" t="n">
        <v>45436.29416666667</v>
      </c>
      <c r="C3679" s="1" t="n">
        <v>46011</v>
      </c>
      <c r="D3679" t="inlineStr">
        <is>
          <t>VÄSTRA GÖTALANDS LÄN</t>
        </is>
      </c>
      <c r="E3679" t="inlineStr">
        <is>
          <t>TRANEMO</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2605-2024</t>
        </is>
      </c>
      <c r="B3680" s="1" t="n">
        <v>45313.7355787037</v>
      </c>
      <c r="C3680" s="1" t="n">
        <v>46011</v>
      </c>
      <c r="D3680" t="inlineStr">
        <is>
          <t>VÄSTRA GÖTALANDS LÄN</t>
        </is>
      </c>
      <c r="E3680" t="inlineStr">
        <is>
          <t>HÄRRYDA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38636-2025</t>
        </is>
      </c>
      <c r="B3681" s="1" t="n">
        <v>45884.56594907407</v>
      </c>
      <c r="C3681" s="1" t="n">
        <v>46011</v>
      </c>
      <c r="D3681" t="inlineStr">
        <is>
          <t>VÄSTRA GÖTALANDS LÄN</t>
        </is>
      </c>
      <c r="E3681" t="inlineStr">
        <is>
          <t>SVENLJUNGA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38637-2025</t>
        </is>
      </c>
      <c r="B3682" s="1" t="n">
        <v>45884.56734953704</v>
      </c>
      <c r="C3682" s="1" t="n">
        <v>46011</v>
      </c>
      <c r="D3682" t="inlineStr">
        <is>
          <t>VÄSTRA GÖTALANDS LÄN</t>
        </is>
      </c>
      <c r="E3682" t="inlineStr">
        <is>
          <t>SVENLJUNGA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2115-2025</t>
        </is>
      </c>
      <c r="B3683" s="1" t="n">
        <v>45672</v>
      </c>
      <c r="C3683" s="1" t="n">
        <v>46011</v>
      </c>
      <c r="D3683" t="inlineStr">
        <is>
          <t>VÄSTRA GÖTALANDS LÄN</t>
        </is>
      </c>
      <c r="E3683" t="inlineStr">
        <is>
          <t>UDDEVALLA</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4433-2025</t>
        </is>
      </c>
      <c r="B3684" s="1" t="n">
        <v>45686.49392361111</v>
      </c>
      <c r="C3684" s="1" t="n">
        <v>46011</v>
      </c>
      <c r="D3684" t="inlineStr">
        <is>
          <t>VÄSTRA GÖTALANDS LÄN</t>
        </is>
      </c>
      <c r="E3684" t="inlineStr">
        <is>
          <t>HÄRRYDA</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58006-2024</t>
        </is>
      </c>
      <c r="B3685" s="1" t="n">
        <v>45631</v>
      </c>
      <c r="C3685" s="1" t="n">
        <v>46011</v>
      </c>
      <c r="D3685" t="inlineStr">
        <is>
          <t>VÄSTRA GÖTALANDS LÄN</t>
        </is>
      </c>
      <c r="E3685" t="inlineStr">
        <is>
          <t>TÖREBODA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48734-2024</t>
        </is>
      </c>
      <c r="B3686" s="1" t="n">
        <v>45593</v>
      </c>
      <c r="C3686" s="1" t="n">
        <v>46011</v>
      </c>
      <c r="D3686" t="inlineStr">
        <is>
          <t>VÄSTRA GÖTALANDS LÄN</t>
        </is>
      </c>
      <c r="E3686" t="inlineStr">
        <is>
          <t>TÖREBODA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53823-2022</t>
        </is>
      </c>
      <c r="B3687" s="1" t="n">
        <v>44880</v>
      </c>
      <c r="C3687" s="1" t="n">
        <v>46011</v>
      </c>
      <c r="D3687" t="inlineStr">
        <is>
          <t>VÄSTRA GÖTALANDS LÄN</t>
        </is>
      </c>
      <c r="E3687" t="inlineStr">
        <is>
          <t>GULLSPÅNG</t>
        </is>
      </c>
      <c r="G3687" t="n">
        <v>0</v>
      </c>
      <c r="H3687" t="n">
        <v>0</v>
      </c>
      <c r="I3687" t="n">
        <v>0</v>
      </c>
      <c r="J3687" t="n">
        <v>0</v>
      </c>
      <c r="K3687" t="n">
        <v>0</v>
      </c>
      <c r="L3687" t="n">
        <v>0</v>
      </c>
      <c r="M3687" t="n">
        <v>0</v>
      </c>
      <c r="N3687" t="n">
        <v>0</v>
      </c>
      <c r="O3687" t="n">
        <v>0</v>
      </c>
      <c r="P3687" t="n">
        <v>0</v>
      </c>
      <c r="Q3687" t="n">
        <v>0</v>
      </c>
      <c r="R3687" s="2" t="inlineStr"/>
    </row>
    <row r="3688" ht="15" customHeight="1">
      <c r="A3688" t="inlineStr">
        <is>
          <t>A 23833-2025</t>
        </is>
      </c>
      <c r="B3688" s="1" t="n">
        <v>45793.60371527778</v>
      </c>
      <c r="C3688" s="1" t="n">
        <v>46011</v>
      </c>
      <c r="D3688" t="inlineStr">
        <is>
          <t>VÄSTRA GÖTALANDS LÄN</t>
        </is>
      </c>
      <c r="E3688" t="inlineStr">
        <is>
          <t>SVENLJUNGA</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20465-2024</t>
        </is>
      </c>
      <c r="B3689" s="1" t="n">
        <v>45435.66646990741</v>
      </c>
      <c r="C3689" s="1" t="n">
        <v>46011</v>
      </c>
      <c r="D3689" t="inlineStr">
        <is>
          <t>VÄSTRA GÖTALANDS LÄN</t>
        </is>
      </c>
      <c r="E3689" t="inlineStr">
        <is>
          <t>VARA</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26914-2024</t>
        </is>
      </c>
      <c r="B3690" s="1" t="n">
        <v>45470.79201388889</v>
      </c>
      <c r="C3690" s="1" t="n">
        <v>46011</v>
      </c>
      <c r="D3690" t="inlineStr">
        <is>
          <t>VÄSTRA GÖTALANDS LÄN</t>
        </is>
      </c>
      <c r="E3690" t="inlineStr">
        <is>
          <t>KARLSBORG</t>
        </is>
      </c>
      <c r="F3690" t="inlineStr">
        <is>
          <t>Övriga Aktiebolag</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38363-2025</t>
        </is>
      </c>
      <c r="B3691" s="1" t="n">
        <v>45883.54059027778</v>
      </c>
      <c r="C3691" s="1" t="n">
        <v>46011</v>
      </c>
      <c r="D3691" t="inlineStr">
        <is>
          <t>VÄSTRA GÖTALANDS LÄN</t>
        </is>
      </c>
      <c r="E3691" t="inlineStr">
        <is>
          <t>FÄRGELANDA</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38377-2025</t>
        </is>
      </c>
      <c r="B3692" s="1" t="n">
        <v>45883.57228009259</v>
      </c>
      <c r="C3692" s="1" t="n">
        <v>46011</v>
      </c>
      <c r="D3692" t="inlineStr">
        <is>
          <t>VÄSTRA GÖTALANDS LÄN</t>
        </is>
      </c>
      <c r="E3692" t="inlineStr">
        <is>
          <t>ULRICEHAMN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47322-2022</t>
        </is>
      </c>
      <c r="B3693" s="1" t="n">
        <v>44853</v>
      </c>
      <c r="C3693" s="1" t="n">
        <v>46011</v>
      </c>
      <c r="D3693" t="inlineStr">
        <is>
          <t>VÄSTRA GÖTALANDS LÄN</t>
        </is>
      </c>
      <c r="E3693" t="inlineStr">
        <is>
          <t>TÖREBODA</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27328-2024</t>
        </is>
      </c>
      <c r="B3694" s="1" t="n">
        <v>45472.47465277778</v>
      </c>
      <c r="C3694" s="1" t="n">
        <v>46011</v>
      </c>
      <c r="D3694" t="inlineStr">
        <is>
          <t>VÄSTRA GÖTALANDS LÄN</t>
        </is>
      </c>
      <c r="E3694" t="inlineStr">
        <is>
          <t>TRANEMO</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985-2024</t>
        </is>
      </c>
      <c r="B3695" s="1" t="n">
        <v>45301</v>
      </c>
      <c r="C3695" s="1" t="n">
        <v>46011</v>
      </c>
      <c r="D3695" t="inlineStr">
        <is>
          <t>VÄSTRA GÖTALANDS LÄN</t>
        </is>
      </c>
      <c r="E3695" t="inlineStr">
        <is>
          <t>TANUM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7472-2023</t>
        </is>
      </c>
      <c r="B3696" s="1" t="n">
        <v>44971.65195601852</v>
      </c>
      <c r="C3696" s="1" t="n">
        <v>46011</v>
      </c>
      <c r="D3696" t="inlineStr">
        <is>
          <t>VÄSTRA GÖTALANDS LÄN</t>
        </is>
      </c>
      <c r="E3696" t="inlineStr">
        <is>
          <t>MARK</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28530-2024</t>
        </is>
      </c>
      <c r="B3697" s="1" t="n">
        <v>45478.32665509259</v>
      </c>
      <c r="C3697" s="1" t="n">
        <v>46011</v>
      </c>
      <c r="D3697" t="inlineStr">
        <is>
          <t>VÄSTRA GÖTALANDS LÄN</t>
        </is>
      </c>
      <c r="E3697" t="inlineStr">
        <is>
          <t>FÄRGELANDA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2556-2024</t>
        </is>
      </c>
      <c r="B3698" s="1" t="n">
        <v>45313.60317129629</v>
      </c>
      <c r="C3698" s="1" t="n">
        <v>46011</v>
      </c>
      <c r="D3698" t="inlineStr">
        <is>
          <t>VÄSTRA GÖTALANDS LÄN</t>
        </is>
      </c>
      <c r="E3698" t="inlineStr">
        <is>
          <t>VÄNERSBORG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24053-2025</t>
        </is>
      </c>
      <c r="B3699" s="1" t="n">
        <v>45796</v>
      </c>
      <c r="C3699" s="1" t="n">
        <v>46011</v>
      </c>
      <c r="D3699" t="inlineStr">
        <is>
          <t>VÄSTRA GÖTALANDS LÄN</t>
        </is>
      </c>
      <c r="E3699" t="inlineStr">
        <is>
          <t>LILLA EDET</t>
        </is>
      </c>
      <c r="G3699" t="n">
        <v>11.1</v>
      </c>
      <c r="H3699" t="n">
        <v>0</v>
      </c>
      <c r="I3699" t="n">
        <v>0</v>
      </c>
      <c r="J3699" t="n">
        <v>0</v>
      </c>
      <c r="K3699" t="n">
        <v>0</v>
      </c>
      <c r="L3699" t="n">
        <v>0</v>
      </c>
      <c r="M3699" t="n">
        <v>0</v>
      </c>
      <c r="N3699" t="n">
        <v>0</v>
      </c>
      <c r="O3699" t="n">
        <v>0</v>
      </c>
      <c r="P3699" t="n">
        <v>0</v>
      </c>
      <c r="Q3699" t="n">
        <v>0</v>
      </c>
      <c r="R3699" s="2" t="inlineStr"/>
    </row>
    <row r="3700" ht="15" customHeight="1">
      <c r="A3700" t="inlineStr">
        <is>
          <t>A 15691-2024</t>
        </is>
      </c>
      <c r="B3700" s="1" t="n">
        <v>45404.45090277777</v>
      </c>
      <c r="C3700" s="1" t="n">
        <v>46011</v>
      </c>
      <c r="D3700" t="inlineStr">
        <is>
          <t>VÄSTRA GÖTALANDS LÄN</t>
        </is>
      </c>
      <c r="E3700" t="inlineStr">
        <is>
          <t>ÅMÅL</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56090-2022</t>
        </is>
      </c>
      <c r="B3701" s="1" t="n">
        <v>44887</v>
      </c>
      <c r="C3701" s="1" t="n">
        <v>46011</v>
      </c>
      <c r="D3701" t="inlineStr">
        <is>
          <t>VÄSTRA GÖTALANDS LÄN</t>
        </is>
      </c>
      <c r="E3701" t="inlineStr">
        <is>
          <t>BENGTSFORS</t>
        </is>
      </c>
      <c r="F3701" t="inlineStr">
        <is>
          <t>Kyrkan</t>
        </is>
      </c>
      <c r="G3701" t="n">
        <v>12.8</v>
      </c>
      <c r="H3701" t="n">
        <v>0</v>
      </c>
      <c r="I3701" t="n">
        <v>0</v>
      </c>
      <c r="J3701" t="n">
        <v>0</v>
      </c>
      <c r="K3701" t="n">
        <v>0</v>
      </c>
      <c r="L3701" t="n">
        <v>0</v>
      </c>
      <c r="M3701" t="n">
        <v>0</v>
      </c>
      <c r="N3701" t="n">
        <v>0</v>
      </c>
      <c r="O3701" t="n">
        <v>0</v>
      </c>
      <c r="P3701" t="n">
        <v>0</v>
      </c>
      <c r="Q3701" t="n">
        <v>0</v>
      </c>
      <c r="R3701" s="2" t="inlineStr"/>
    </row>
    <row r="3702" ht="15" customHeight="1">
      <c r="A3702" t="inlineStr">
        <is>
          <t>A 4888-2023</t>
        </is>
      </c>
      <c r="B3702" s="1" t="n">
        <v>44958</v>
      </c>
      <c r="C3702" s="1" t="n">
        <v>46011</v>
      </c>
      <c r="D3702" t="inlineStr">
        <is>
          <t>VÄSTRA GÖTALANDS LÄN</t>
        </is>
      </c>
      <c r="E3702" t="inlineStr">
        <is>
          <t>TIDAHOLM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55972-2022</t>
        </is>
      </c>
      <c r="B3703" s="1" t="n">
        <v>44889</v>
      </c>
      <c r="C3703" s="1" t="n">
        <v>46011</v>
      </c>
      <c r="D3703" t="inlineStr">
        <is>
          <t>VÄSTRA GÖTALANDS LÄN</t>
        </is>
      </c>
      <c r="E3703" t="inlineStr">
        <is>
          <t>LILLA EDET</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43573-2022</t>
        </is>
      </c>
      <c r="B3704" s="1" t="n">
        <v>44837.45231481481</v>
      </c>
      <c r="C3704" s="1" t="n">
        <v>46011</v>
      </c>
      <c r="D3704" t="inlineStr">
        <is>
          <t>VÄSTRA GÖTALANDS LÄN</t>
        </is>
      </c>
      <c r="E3704" t="inlineStr">
        <is>
          <t>BORÅS</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62489-2023</t>
        </is>
      </c>
      <c r="B3705" s="1" t="n">
        <v>45268.58481481481</v>
      </c>
      <c r="C3705" s="1" t="n">
        <v>46011</v>
      </c>
      <c r="D3705" t="inlineStr">
        <is>
          <t>VÄSTRA GÖTALANDS LÄN</t>
        </is>
      </c>
      <c r="E3705" t="inlineStr">
        <is>
          <t>TANUM</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62535-2023</t>
        </is>
      </c>
      <c r="B3706" s="1" t="n">
        <v>45268</v>
      </c>
      <c r="C3706" s="1" t="n">
        <v>46011</v>
      </c>
      <c r="D3706" t="inlineStr">
        <is>
          <t>VÄSTRA GÖTALANDS LÄN</t>
        </is>
      </c>
      <c r="E3706" t="inlineStr">
        <is>
          <t>VÅRGÅRDA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47088-2022</t>
        </is>
      </c>
      <c r="B3707" s="1" t="n">
        <v>44852</v>
      </c>
      <c r="C3707" s="1" t="n">
        <v>46011</v>
      </c>
      <c r="D3707" t="inlineStr">
        <is>
          <t>VÄSTRA GÖTALANDS LÄN</t>
        </is>
      </c>
      <c r="E3707" t="inlineStr">
        <is>
          <t>TRANEMO</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57860-2023</t>
        </is>
      </c>
      <c r="B3708" s="1" t="n">
        <v>45247.44261574074</v>
      </c>
      <c r="C3708" s="1" t="n">
        <v>46011</v>
      </c>
      <c r="D3708" t="inlineStr">
        <is>
          <t>VÄSTRA GÖTALANDS LÄN</t>
        </is>
      </c>
      <c r="E3708" t="inlineStr">
        <is>
          <t>VÅRGÅRDA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61601-2023</t>
        </is>
      </c>
      <c r="B3709" s="1" t="n">
        <v>45265</v>
      </c>
      <c r="C3709" s="1" t="n">
        <v>46011</v>
      </c>
      <c r="D3709" t="inlineStr">
        <is>
          <t>VÄSTRA GÖTALANDS LÄN</t>
        </is>
      </c>
      <c r="E3709" t="inlineStr">
        <is>
          <t>MARIESTAD</t>
        </is>
      </c>
      <c r="F3709" t="inlineStr">
        <is>
          <t>Sveaskog</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58929-2022</t>
        </is>
      </c>
      <c r="B3710" s="1" t="n">
        <v>44903</v>
      </c>
      <c r="C3710" s="1" t="n">
        <v>46011</v>
      </c>
      <c r="D3710" t="inlineStr">
        <is>
          <t>VÄSTRA GÖTALANDS LÄN</t>
        </is>
      </c>
      <c r="E3710" t="inlineStr">
        <is>
          <t>SKÖVDE</t>
        </is>
      </c>
      <c r="F3710" t="inlineStr">
        <is>
          <t>Kommuner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50160-2022</t>
        </is>
      </c>
      <c r="B3711" s="1" t="n">
        <v>44865.58923611111</v>
      </c>
      <c r="C3711" s="1" t="n">
        <v>46011</v>
      </c>
      <c r="D3711" t="inlineStr">
        <is>
          <t>VÄSTRA GÖTALANDS LÄN</t>
        </is>
      </c>
      <c r="E3711" t="inlineStr">
        <is>
          <t>VÅRGÅRDA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61952-2024</t>
        </is>
      </c>
      <c r="B3712" s="1" t="n">
        <v>45653.50980324074</v>
      </c>
      <c r="C3712" s="1" t="n">
        <v>46011</v>
      </c>
      <c r="D3712" t="inlineStr">
        <is>
          <t>VÄSTRA GÖTALANDS LÄN</t>
        </is>
      </c>
      <c r="E3712" t="inlineStr">
        <is>
          <t>LILLA EDET</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64317-2023</t>
        </is>
      </c>
      <c r="B3713" s="1" t="n">
        <v>45279</v>
      </c>
      <c r="C3713" s="1" t="n">
        <v>46011</v>
      </c>
      <c r="D3713" t="inlineStr">
        <is>
          <t>VÄSTRA GÖTALANDS LÄN</t>
        </is>
      </c>
      <c r="E3713" t="inlineStr">
        <is>
          <t>VARA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64330-2023</t>
        </is>
      </c>
      <c r="B3714" s="1" t="n">
        <v>45279</v>
      </c>
      <c r="C3714" s="1" t="n">
        <v>46011</v>
      </c>
      <c r="D3714" t="inlineStr">
        <is>
          <t>VÄSTRA GÖTALANDS LÄN</t>
        </is>
      </c>
      <c r="E3714" t="inlineStr">
        <is>
          <t>VARA</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10462-2025</t>
        </is>
      </c>
      <c r="B3715" s="1" t="n">
        <v>45720.7705787037</v>
      </c>
      <c r="C3715" s="1" t="n">
        <v>46011</v>
      </c>
      <c r="D3715" t="inlineStr">
        <is>
          <t>VÄSTRA GÖTALANDS LÄN</t>
        </is>
      </c>
      <c r="E3715" t="inlineStr">
        <is>
          <t>TIBRO</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38655-2025</t>
        </is>
      </c>
      <c r="B3716" s="1" t="n">
        <v>45884.60351851852</v>
      </c>
      <c r="C3716" s="1" t="n">
        <v>46011</v>
      </c>
      <c r="D3716" t="inlineStr">
        <is>
          <t>VÄSTRA GÖTALANDS LÄN</t>
        </is>
      </c>
      <c r="E3716" t="inlineStr">
        <is>
          <t>MELLERUD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53898-2023</t>
        </is>
      </c>
      <c r="B3717" s="1" t="n">
        <v>45231.54010416667</v>
      </c>
      <c r="C3717" s="1" t="n">
        <v>46011</v>
      </c>
      <c r="D3717" t="inlineStr">
        <is>
          <t>VÄSTRA GÖTALANDS LÄN</t>
        </is>
      </c>
      <c r="E3717" t="inlineStr">
        <is>
          <t>KARLSBORG</t>
        </is>
      </c>
      <c r="G3717" t="n">
        <v>9.5</v>
      </c>
      <c r="H3717" t="n">
        <v>0</v>
      </c>
      <c r="I3717" t="n">
        <v>0</v>
      </c>
      <c r="J3717" t="n">
        <v>0</v>
      </c>
      <c r="K3717" t="n">
        <v>0</v>
      </c>
      <c r="L3717" t="n">
        <v>0</v>
      </c>
      <c r="M3717" t="n">
        <v>0</v>
      </c>
      <c r="N3717" t="n">
        <v>0</v>
      </c>
      <c r="O3717" t="n">
        <v>0</v>
      </c>
      <c r="P3717" t="n">
        <v>0</v>
      </c>
      <c r="Q3717" t="n">
        <v>0</v>
      </c>
      <c r="R3717" s="2" t="inlineStr"/>
    </row>
    <row r="3718" ht="15" customHeight="1">
      <c r="A3718" t="inlineStr">
        <is>
          <t>A 3407-2023</t>
        </is>
      </c>
      <c r="B3718" s="1" t="n">
        <v>44949.54909722223</v>
      </c>
      <c r="C3718" s="1" t="n">
        <v>46011</v>
      </c>
      <c r="D3718" t="inlineStr">
        <is>
          <t>VÄSTRA GÖTALANDS LÄN</t>
        </is>
      </c>
      <c r="E3718" t="inlineStr">
        <is>
          <t>ALE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60658-2024</t>
        </is>
      </c>
      <c r="B3719" s="1" t="n">
        <v>45644.44567129629</v>
      </c>
      <c r="C3719" s="1" t="n">
        <v>46011</v>
      </c>
      <c r="D3719" t="inlineStr">
        <is>
          <t>VÄSTRA GÖTALANDS LÄN</t>
        </is>
      </c>
      <c r="E3719" t="inlineStr">
        <is>
          <t>GRÄSTORP</t>
        </is>
      </c>
      <c r="G3719" t="n">
        <v>16.9</v>
      </c>
      <c r="H3719" t="n">
        <v>0</v>
      </c>
      <c r="I3719" t="n">
        <v>0</v>
      </c>
      <c r="J3719" t="n">
        <v>0</v>
      </c>
      <c r="K3719" t="n">
        <v>0</v>
      </c>
      <c r="L3719" t="n">
        <v>0</v>
      </c>
      <c r="M3719" t="n">
        <v>0</v>
      </c>
      <c r="N3719" t="n">
        <v>0</v>
      </c>
      <c r="O3719" t="n">
        <v>0</v>
      </c>
      <c r="P3719" t="n">
        <v>0</v>
      </c>
      <c r="Q3719" t="n">
        <v>0</v>
      </c>
      <c r="R3719" s="2" t="inlineStr"/>
    </row>
    <row r="3720" ht="15" customHeight="1">
      <c r="A3720" t="inlineStr">
        <is>
          <t>A 34046-2024</t>
        </is>
      </c>
      <c r="B3720" s="1" t="n">
        <v>45523.60449074074</v>
      </c>
      <c r="C3720" s="1" t="n">
        <v>46011</v>
      </c>
      <c r="D3720" t="inlineStr">
        <is>
          <t>VÄSTRA GÖTALANDS LÄN</t>
        </is>
      </c>
      <c r="E3720" t="inlineStr">
        <is>
          <t>ORUST</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4734-2023</t>
        </is>
      </c>
      <c r="B3721" s="1" t="n">
        <v>44957</v>
      </c>
      <c r="C3721" s="1" t="n">
        <v>46011</v>
      </c>
      <c r="D3721" t="inlineStr">
        <is>
          <t>VÄSTRA GÖTALANDS LÄN</t>
        </is>
      </c>
      <c r="E3721" t="inlineStr">
        <is>
          <t>STENUNGSUND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11835-2025</t>
        </is>
      </c>
      <c r="B3722" s="1" t="n">
        <v>45728.35657407407</v>
      </c>
      <c r="C3722" s="1" t="n">
        <v>46011</v>
      </c>
      <c r="D3722" t="inlineStr">
        <is>
          <t>VÄSTRA GÖTALANDS LÄN</t>
        </is>
      </c>
      <c r="E3722" t="inlineStr">
        <is>
          <t>TIDAHOLM</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62678-2023</t>
        </is>
      </c>
      <c r="B3723" s="1" t="n">
        <v>45271.47798611111</v>
      </c>
      <c r="C3723" s="1" t="n">
        <v>46011</v>
      </c>
      <c r="D3723" t="inlineStr">
        <is>
          <t>VÄSTRA GÖTALANDS LÄN</t>
        </is>
      </c>
      <c r="E3723" t="inlineStr">
        <is>
          <t>ALINGSÅS</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62754-2023</t>
        </is>
      </c>
      <c r="B3724" s="1" t="n">
        <v>45271.62900462963</v>
      </c>
      <c r="C3724" s="1" t="n">
        <v>46011</v>
      </c>
      <c r="D3724" t="inlineStr">
        <is>
          <t>VÄSTRA GÖTALANDS LÄN</t>
        </is>
      </c>
      <c r="E3724" t="inlineStr">
        <is>
          <t>MARIESTAD</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47828-2022</t>
        </is>
      </c>
      <c r="B3725" s="1" t="n">
        <v>44855</v>
      </c>
      <c r="C3725" s="1" t="n">
        <v>46011</v>
      </c>
      <c r="D3725" t="inlineStr">
        <is>
          <t>VÄSTRA GÖTALANDS LÄN</t>
        </is>
      </c>
      <c r="E3725" t="inlineStr">
        <is>
          <t>DALS-ED</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21014-2024</t>
        </is>
      </c>
      <c r="B3726" s="1" t="n">
        <v>45439.63131944444</v>
      </c>
      <c r="C3726" s="1" t="n">
        <v>46011</v>
      </c>
      <c r="D3726" t="inlineStr">
        <is>
          <t>VÄSTRA GÖTALANDS LÄN</t>
        </is>
      </c>
      <c r="E3726" t="inlineStr">
        <is>
          <t>TÖREBODA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14505-2024</t>
        </is>
      </c>
      <c r="B3727" s="1" t="n">
        <v>45394</v>
      </c>
      <c r="C3727" s="1" t="n">
        <v>46011</v>
      </c>
      <c r="D3727" t="inlineStr">
        <is>
          <t>VÄSTRA GÖTALANDS LÄN</t>
        </is>
      </c>
      <c r="E3727" t="inlineStr">
        <is>
          <t>TÖREBODA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35888-2024</t>
        </is>
      </c>
      <c r="B3728" s="1" t="n">
        <v>45533.36006944445</v>
      </c>
      <c r="C3728" s="1" t="n">
        <v>46011</v>
      </c>
      <c r="D3728" t="inlineStr">
        <is>
          <t>VÄSTRA GÖTALANDS LÄN</t>
        </is>
      </c>
      <c r="E3728" t="inlineStr">
        <is>
          <t>GULLSPÅNG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12972-2025</t>
        </is>
      </c>
      <c r="B3729" s="1" t="n">
        <v>45734.43846064815</v>
      </c>
      <c r="C3729" s="1" t="n">
        <v>46011</v>
      </c>
      <c r="D3729" t="inlineStr">
        <is>
          <t>VÄSTRA GÖTALANDS LÄN</t>
        </is>
      </c>
      <c r="E3729" t="inlineStr">
        <is>
          <t>SKÖVDE</t>
        </is>
      </c>
      <c r="F3729" t="inlineStr">
        <is>
          <t>Kommuner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13732-2025</t>
        </is>
      </c>
      <c r="B3730" s="1" t="n">
        <v>45737.39055555555</v>
      </c>
      <c r="C3730" s="1" t="n">
        <v>46011</v>
      </c>
      <c r="D3730" t="inlineStr">
        <is>
          <t>VÄSTRA GÖTALANDS LÄN</t>
        </is>
      </c>
      <c r="E3730" t="inlineStr">
        <is>
          <t>BENGTSFORS</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50964-2024</t>
        </is>
      </c>
      <c r="B3731" s="1" t="n">
        <v>45603.32528935185</v>
      </c>
      <c r="C3731" s="1" t="n">
        <v>46011</v>
      </c>
      <c r="D3731" t="inlineStr">
        <is>
          <t>VÄSTRA GÖTALANDS LÄN</t>
        </is>
      </c>
      <c r="E3731" t="inlineStr">
        <is>
          <t>FALKÖPING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39480-2024</t>
        </is>
      </c>
      <c r="B3732" s="1" t="n">
        <v>45551.64898148148</v>
      </c>
      <c r="C3732" s="1" t="n">
        <v>46011</v>
      </c>
      <c r="D3732" t="inlineStr">
        <is>
          <t>VÄSTRA GÖTALANDS LÄN</t>
        </is>
      </c>
      <c r="E3732" t="inlineStr">
        <is>
          <t>TANUM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23962-2025</t>
        </is>
      </c>
      <c r="B3733" s="1" t="n">
        <v>45796.36909722222</v>
      </c>
      <c r="C3733" s="1" t="n">
        <v>46011</v>
      </c>
      <c r="D3733" t="inlineStr">
        <is>
          <t>VÄSTRA GÖTALANDS LÄN</t>
        </is>
      </c>
      <c r="E3733" t="inlineStr">
        <is>
          <t>DALS-ED</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25744-2024</t>
        </is>
      </c>
      <c r="B3734" s="1" t="n">
        <v>45465.43989583333</v>
      </c>
      <c r="C3734" s="1" t="n">
        <v>46011</v>
      </c>
      <c r="D3734" t="inlineStr">
        <is>
          <t>VÄSTRA GÖTALANDS LÄN</t>
        </is>
      </c>
      <c r="E3734" t="inlineStr">
        <is>
          <t>ALINGSÅS</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25748-2024</t>
        </is>
      </c>
      <c r="B3735" s="1" t="n">
        <v>45465.44412037037</v>
      </c>
      <c r="C3735" s="1" t="n">
        <v>46011</v>
      </c>
      <c r="D3735" t="inlineStr">
        <is>
          <t>VÄSTRA GÖTALANDS LÄN</t>
        </is>
      </c>
      <c r="E3735" t="inlineStr">
        <is>
          <t>ALINGSÅS</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57238-2022</t>
        </is>
      </c>
      <c r="B3736" s="1" t="n">
        <v>44895</v>
      </c>
      <c r="C3736" s="1" t="n">
        <v>46011</v>
      </c>
      <c r="D3736" t="inlineStr">
        <is>
          <t>VÄSTRA GÖTALANDS LÄN</t>
        </is>
      </c>
      <c r="E3736" t="inlineStr">
        <is>
          <t>SKARA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49441-2023</t>
        </is>
      </c>
      <c r="B3737" s="1" t="n">
        <v>45211</v>
      </c>
      <c r="C3737" s="1" t="n">
        <v>46011</v>
      </c>
      <c r="D3737" t="inlineStr">
        <is>
          <t>VÄSTRA GÖTALANDS LÄN</t>
        </is>
      </c>
      <c r="E3737" t="inlineStr">
        <is>
          <t>SVENLJUNGA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23714-2025</t>
        </is>
      </c>
      <c r="B3738" s="1" t="n">
        <v>45793.38550925926</v>
      </c>
      <c r="C3738" s="1" t="n">
        <v>46011</v>
      </c>
      <c r="D3738" t="inlineStr">
        <is>
          <t>VÄSTRA GÖTALANDS LÄN</t>
        </is>
      </c>
      <c r="E3738" t="inlineStr">
        <is>
          <t>HERRLJUNGA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25743-2024</t>
        </is>
      </c>
      <c r="B3739" s="1" t="n">
        <v>45465.42688657407</v>
      </c>
      <c r="C3739" s="1" t="n">
        <v>46011</v>
      </c>
      <c r="D3739" t="inlineStr">
        <is>
          <t>VÄSTRA GÖTALANDS LÄN</t>
        </is>
      </c>
      <c r="E3739" t="inlineStr">
        <is>
          <t>ALINGSÅS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23503-2025</t>
        </is>
      </c>
      <c r="B3740" s="1" t="n">
        <v>45795</v>
      </c>
      <c r="C3740" s="1" t="n">
        <v>46011</v>
      </c>
      <c r="D3740" t="inlineStr">
        <is>
          <t>VÄSTRA GÖTALANDS LÄN</t>
        </is>
      </c>
      <c r="E3740" t="inlineStr">
        <is>
          <t>SOTENÄS</t>
        </is>
      </c>
      <c r="G3740" t="n">
        <v>14.1</v>
      </c>
      <c r="H3740" t="n">
        <v>0</v>
      </c>
      <c r="I3740" t="n">
        <v>0</v>
      </c>
      <c r="J3740" t="n">
        <v>0</v>
      </c>
      <c r="K3740" t="n">
        <v>0</v>
      </c>
      <c r="L3740" t="n">
        <v>0</v>
      </c>
      <c r="M3740" t="n">
        <v>0</v>
      </c>
      <c r="N3740" t="n">
        <v>0</v>
      </c>
      <c r="O3740" t="n">
        <v>0</v>
      </c>
      <c r="P3740" t="n">
        <v>0</v>
      </c>
      <c r="Q3740" t="n">
        <v>0</v>
      </c>
      <c r="R3740" s="2" t="inlineStr"/>
    </row>
    <row r="3741" ht="15" customHeight="1">
      <c r="A3741" t="inlineStr">
        <is>
          <t>A 60103-2022</t>
        </is>
      </c>
      <c r="B3741" s="1" t="n">
        <v>44909.63206018518</v>
      </c>
      <c r="C3741" s="1" t="n">
        <v>46011</v>
      </c>
      <c r="D3741" t="inlineStr">
        <is>
          <t>VÄSTRA GÖTALANDS LÄN</t>
        </is>
      </c>
      <c r="E3741" t="inlineStr">
        <is>
          <t>TROLLHÄTTAN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39084-2022</t>
        </is>
      </c>
      <c r="B3742" s="1" t="n">
        <v>44817.40947916666</v>
      </c>
      <c r="C3742" s="1" t="n">
        <v>46011</v>
      </c>
      <c r="D3742" t="inlineStr">
        <is>
          <t>VÄSTRA GÖTALANDS LÄN</t>
        </is>
      </c>
      <c r="E3742" t="inlineStr">
        <is>
          <t>UDDEVALLA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35887-2024</t>
        </is>
      </c>
      <c r="B3743" s="1" t="n">
        <v>45533.35982638889</v>
      </c>
      <c r="C3743" s="1" t="n">
        <v>46011</v>
      </c>
      <c r="D3743" t="inlineStr">
        <is>
          <t>VÄSTRA GÖTALANDS LÄN</t>
        </is>
      </c>
      <c r="E3743" t="inlineStr">
        <is>
          <t>DALS-ED</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14012-2024</t>
        </is>
      </c>
      <c r="B3744" s="1" t="n">
        <v>45392.48451388889</v>
      </c>
      <c r="C3744" s="1" t="n">
        <v>46011</v>
      </c>
      <c r="D3744" t="inlineStr">
        <is>
          <t>VÄSTRA GÖTALANDS LÄN</t>
        </is>
      </c>
      <c r="E3744" t="inlineStr">
        <is>
          <t>TANUM</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35040-2024</t>
        </is>
      </c>
      <c r="B3745" s="1" t="n">
        <v>45527.61861111111</v>
      </c>
      <c r="C3745" s="1" t="n">
        <v>46011</v>
      </c>
      <c r="D3745" t="inlineStr">
        <is>
          <t>VÄSTRA GÖTALANDS LÄN</t>
        </is>
      </c>
      <c r="E3745" t="inlineStr">
        <is>
          <t>KARLSBORG</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30769-2023</t>
        </is>
      </c>
      <c r="B3746" s="1" t="n">
        <v>45112</v>
      </c>
      <c r="C3746" s="1" t="n">
        <v>46011</v>
      </c>
      <c r="D3746" t="inlineStr">
        <is>
          <t>VÄSTRA GÖTALANDS LÄN</t>
        </is>
      </c>
      <c r="E3746" t="inlineStr">
        <is>
          <t>BOLLEBYGD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54659-2022</t>
        </is>
      </c>
      <c r="B3747" s="1" t="n">
        <v>44883</v>
      </c>
      <c r="C3747" s="1" t="n">
        <v>46011</v>
      </c>
      <c r="D3747" t="inlineStr">
        <is>
          <t>VÄSTRA GÖTALANDS LÄN</t>
        </is>
      </c>
      <c r="E3747" t="inlineStr">
        <is>
          <t>BOLLEBYGD</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30794-2023</t>
        </is>
      </c>
      <c r="B3748" s="1" t="n">
        <v>45112.75039351852</v>
      </c>
      <c r="C3748" s="1" t="n">
        <v>46011</v>
      </c>
      <c r="D3748" t="inlineStr">
        <is>
          <t>VÄSTRA GÖTALANDS LÄN</t>
        </is>
      </c>
      <c r="E3748" t="inlineStr">
        <is>
          <t>BOLLEBYGD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48908-2024</t>
        </is>
      </c>
      <c r="B3749" s="1" t="n">
        <v>45594.36315972222</v>
      </c>
      <c r="C3749" s="1" t="n">
        <v>46011</v>
      </c>
      <c r="D3749" t="inlineStr">
        <is>
          <t>VÄSTRA GÖTALANDS LÄN</t>
        </is>
      </c>
      <c r="E3749" t="inlineStr">
        <is>
          <t>VARA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61700-2023</t>
        </is>
      </c>
      <c r="B3750" s="1" t="n">
        <v>45265.65236111111</v>
      </c>
      <c r="C3750" s="1" t="n">
        <v>46011</v>
      </c>
      <c r="D3750" t="inlineStr">
        <is>
          <t>VÄSTRA GÖTALANDS LÄN</t>
        </is>
      </c>
      <c r="E3750" t="inlineStr">
        <is>
          <t>HJO</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61709-2023</t>
        </is>
      </c>
      <c r="B3751" s="1" t="n">
        <v>45265.66319444445</v>
      </c>
      <c r="C3751" s="1" t="n">
        <v>46011</v>
      </c>
      <c r="D3751" t="inlineStr">
        <is>
          <t>VÄSTRA GÖTALANDS LÄN</t>
        </is>
      </c>
      <c r="E3751" t="inlineStr">
        <is>
          <t>TANUM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31718-2023</t>
        </is>
      </c>
      <c r="B3752" s="1" t="n">
        <v>45117.88568287037</v>
      </c>
      <c r="C3752" s="1" t="n">
        <v>46011</v>
      </c>
      <c r="D3752" t="inlineStr">
        <is>
          <t>VÄSTRA GÖTALANDS LÄN</t>
        </is>
      </c>
      <c r="E3752" t="inlineStr">
        <is>
          <t>BOLLEBYGD</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11563-2025</t>
        </is>
      </c>
      <c r="B3753" s="1" t="n">
        <v>45727</v>
      </c>
      <c r="C3753" s="1" t="n">
        <v>46011</v>
      </c>
      <c r="D3753" t="inlineStr">
        <is>
          <t>VÄSTRA GÖTALANDS LÄN</t>
        </is>
      </c>
      <c r="E3753" t="inlineStr">
        <is>
          <t>LIDKÖPING</t>
        </is>
      </c>
      <c r="F3753" t="inlineStr">
        <is>
          <t>Kommuner</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23950-2025</t>
        </is>
      </c>
      <c r="B3754" s="1" t="n">
        <v>45796.35803240741</v>
      </c>
      <c r="C3754" s="1" t="n">
        <v>46011</v>
      </c>
      <c r="D3754" t="inlineStr">
        <is>
          <t>VÄSTRA GÖTALANDS LÄN</t>
        </is>
      </c>
      <c r="E3754" t="inlineStr">
        <is>
          <t>VÅRGÅRDA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24010-2025</t>
        </is>
      </c>
      <c r="B3755" s="1" t="n">
        <v>45796.44579861111</v>
      </c>
      <c r="C3755" s="1" t="n">
        <v>46011</v>
      </c>
      <c r="D3755" t="inlineStr">
        <is>
          <t>VÄSTRA GÖTALANDS LÄN</t>
        </is>
      </c>
      <c r="E3755" t="inlineStr">
        <is>
          <t>HERRLJUNGA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38632-2025</t>
        </is>
      </c>
      <c r="B3756" s="1" t="n">
        <v>45884.56457175926</v>
      </c>
      <c r="C3756" s="1" t="n">
        <v>46011</v>
      </c>
      <c r="D3756" t="inlineStr">
        <is>
          <t>VÄSTRA GÖTALANDS LÄN</t>
        </is>
      </c>
      <c r="E3756" t="inlineStr">
        <is>
          <t>SVENLJUNGA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53421-2022</t>
        </is>
      </c>
      <c r="B3757" s="1" t="n">
        <v>44879</v>
      </c>
      <c r="C3757" s="1" t="n">
        <v>46011</v>
      </c>
      <c r="D3757" t="inlineStr">
        <is>
          <t>VÄSTRA GÖTALANDS LÄN</t>
        </is>
      </c>
      <c r="E3757" t="inlineStr">
        <is>
          <t>TANUM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24082-2025</t>
        </is>
      </c>
      <c r="B3758" s="1" t="n">
        <v>45796.55890046297</v>
      </c>
      <c r="C3758" s="1" t="n">
        <v>46011</v>
      </c>
      <c r="D3758" t="inlineStr">
        <is>
          <t>VÄSTRA GÖTALANDS LÄN</t>
        </is>
      </c>
      <c r="E3758" t="inlineStr">
        <is>
          <t>FÄRGELANDA</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23669-2025</t>
        </is>
      </c>
      <c r="B3759" s="1" t="n">
        <v>45792.93181712963</v>
      </c>
      <c r="C3759" s="1" t="n">
        <v>46011</v>
      </c>
      <c r="D3759" t="inlineStr">
        <is>
          <t>VÄSTRA GÖTALANDS LÄN</t>
        </is>
      </c>
      <c r="E3759" t="inlineStr">
        <is>
          <t>VARA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62603-2023</t>
        </is>
      </c>
      <c r="B3760" s="1" t="n">
        <v>45271</v>
      </c>
      <c r="C3760" s="1" t="n">
        <v>46011</v>
      </c>
      <c r="D3760" t="inlineStr">
        <is>
          <t>VÄSTRA GÖTALANDS LÄN</t>
        </is>
      </c>
      <c r="E3760" t="inlineStr">
        <is>
          <t>ALINGSÅS</t>
        </is>
      </c>
      <c r="F3760" t="inlineStr">
        <is>
          <t>Kyrkan</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62718-2023</t>
        </is>
      </c>
      <c r="B3761" s="1" t="n">
        <v>45268</v>
      </c>
      <c r="C3761" s="1" t="n">
        <v>46011</v>
      </c>
      <c r="D3761" t="inlineStr">
        <is>
          <t>VÄSTRA GÖTALANDS LÄN</t>
        </is>
      </c>
      <c r="E3761" t="inlineStr">
        <is>
          <t>MARIESTAD</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62725-2023</t>
        </is>
      </c>
      <c r="B3762" s="1" t="n">
        <v>45271</v>
      </c>
      <c r="C3762" s="1" t="n">
        <v>46011</v>
      </c>
      <c r="D3762" t="inlineStr">
        <is>
          <t>VÄSTRA GÖTALANDS LÄN</t>
        </is>
      </c>
      <c r="E3762" t="inlineStr">
        <is>
          <t>MARK</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62751-2023</t>
        </is>
      </c>
      <c r="B3763" s="1" t="n">
        <v>45271.62438657408</v>
      </c>
      <c r="C3763" s="1" t="n">
        <v>46011</v>
      </c>
      <c r="D3763" t="inlineStr">
        <is>
          <t>VÄSTRA GÖTALANDS LÄN</t>
        </is>
      </c>
      <c r="E3763" t="inlineStr">
        <is>
          <t>MARIESTAD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18690-2025</t>
        </is>
      </c>
      <c r="B3764" s="1" t="n">
        <v>45763.6150462963</v>
      </c>
      <c r="C3764" s="1" t="n">
        <v>46011</v>
      </c>
      <c r="D3764" t="inlineStr">
        <is>
          <t>VÄSTRA GÖTALANDS LÄN</t>
        </is>
      </c>
      <c r="E3764" t="inlineStr">
        <is>
          <t>TÖREBODA</t>
        </is>
      </c>
      <c r="F3764" t="inlineStr">
        <is>
          <t>Kyrkan</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58619-2024</t>
        </is>
      </c>
      <c r="B3765" s="1" t="n">
        <v>45635.56216435185</v>
      </c>
      <c r="C3765" s="1" t="n">
        <v>46011</v>
      </c>
      <c r="D3765" t="inlineStr">
        <is>
          <t>VÄSTRA GÖTALANDS LÄN</t>
        </is>
      </c>
      <c r="E3765" t="inlineStr">
        <is>
          <t>LYSEKIL</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60414-2024</t>
        </is>
      </c>
      <c r="B3766" s="1" t="n">
        <v>45643.51864583333</v>
      </c>
      <c r="C3766" s="1" t="n">
        <v>46011</v>
      </c>
      <c r="D3766" t="inlineStr">
        <is>
          <t>VÄSTRA GÖTALANDS LÄN</t>
        </is>
      </c>
      <c r="E3766" t="inlineStr">
        <is>
          <t>HJO</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23865-2025</t>
        </is>
      </c>
      <c r="B3767" s="1" t="n">
        <v>45793.67059027778</v>
      </c>
      <c r="C3767" s="1" t="n">
        <v>46011</v>
      </c>
      <c r="D3767" t="inlineStr">
        <is>
          <t>VÄSTRA GÖTALANDS LÄN</t>
        </is>
      </c>
      <c r="E3767" t="inlineStr">
        <is>
          <t>VARA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3044-2022</t>
        </is>
      </c>
      <c r="B3768" s="1" t="n">
        <v>44582.3544675926</v>
      </c>
      <c r="C3768" s="1" t="n">
        <v>46011</v>
      </c>
      <c r="D3768" t="inlineStr">
        <is>
          <t>VÄSTRA GÖTALANDS LÄN</t>
        </is>
      </c>
      <c r="E3768" t="inlineStr">
        <is>
          <t>TROLLHÄTTAN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3748-2025</t>
        </is>
      </c>
      <c r="B3769" s="1" t="n">
        <v>45681</v>
      </c>
      <c r="C3769" s="1" t="n">
        <v>46011</v>
      </c>
      <c r="D3769" t="inlineStr">
        <is>
          <t>VÄSTRA GÖTALANDS LÄN</t>
        </is>
      </c>
      <c r="E3769" t="inlineStr">
        <is>
          <t>ALINGSÅS</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4303-2025</t>
        </is>
      </c>
      <c r="B3770" s="1" t="n">
        <v>45685</v>
      </c>
      <c r="C3770" s="1" t="n">
        <v>46011</v>
      </c>
      <c r="D3770" t="inlineStr">
        <is>
          <t>VÄSTRA GÖTALANDS LÄN</t>
        </is>
      </c>
      <c r="E3770" t="inlineStr">
        <is>
          <t>VARA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48969-2023</t>
        </is>
      </c>
      <c r="B3771" s="1" t="n">
        <v>45209</v>
      </c>
      <c r="C3771" s="1" t="n">
        <v>46011</v>
      </c>
      <c r="D3771" t="inlineStr">
        <is>
          <t>VÄSTRA GÖTALANDS LÄN</t>
        </is>
      </c>
      <c r="E3771" t="inlineStr">
        <is>
          <t>TÖREBODA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38290-2025</t>
        </is>
      </c>
      <c r="B3772" s="1" t="n">
        <v>45883.44046296296</v>
      </c>
      <c r="C3772" s="1" t="n">
        <v>46011</v>
      </c>
      <c r="D3772" t="inlineStr">
        <is>
          <t>VÄSTRA GÖTALANDS LÄN</t>
        </is>
      </c>
      <c r="E3772" t="inlineStr">
        <is>
          <t>KARLSBORG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1498-2021</t>
        </is>
      </c>
      <c r="B3773" s="1" t="n">
        <v>44209</v>
      </c>
      <c r="C3773" s="1" t="n">
        <v>46011</v>
      </c>
      <c r="D3773" t="inlineStr">
        <is>
          <t>VÄSTRA GÖTALANDS LÄN</t>
        </is>
      </c>
      <c r="E3773" t="inlineStr">
        <is>
          <t>BENGTSFORS</t>
        </is>
      </c>
      <c r="G3773" t="n">
        <v>21.6</v>
      </c>
      <c r="H3773" t="n">
        <v>0</v>
      </c>
      <c r="I3773" t="n">
        <v>0</v>
      </c>
      <c r="J3773" t="n">
        <v>0</v>
      </c>
      <c r="K3773" t="n">
        <v>0</v>
      </c>
      <c r="L3773" t="n">
        <v>0</v>
      </c>
      <c r="M3773" t="n">
        <v>0</v>
      </c>
      <c r="N3773" t="n">
        <v>0</v>
      </c>
      <c r="O3773" t="n">
        <v>0</v>
      </c>
      <c r="P3773" t="n">
        <v>0</v>
      </c>
      <c r="Q3773" t="n">
        <v>0</v>
      </c>
      <c r="R3773" s="2" t="inlineStr"/>
    </row>
    <row r="3774" ht="15" customHeight="1">
      <c r="A3774" t="inlineStr">
        <is>
          <t>A 30427-2023</t>
        </is>
      </c>
      <c r="B3774" s="1" t="n">
        <v>45111.53703703704</v>
      </c>
      <c r="C3774" s="1" t="n">
        <v>46011</v>
      </c>
      <c r="D3774" t="inlineStr">
        <is>
          <t>VÄSTRA GÖTALANDS LÄN</t>
        </is>
      </c>
      <c r="E3774" t="inlineStr">
        <is>
          <t>MUNKEDAL</t>
        </is>
      </c>
      <c r="F3774" t="inlineStr">
        <is>
          <t>Naturvårdsverket</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58598-2021</t>
        </is>
      </c>
      <c r="B3775" s="1" t="n">
        <v>44489</v>
      </c>
      <c r="C3775" s="1" t="n">
        <v>46011</v>
      </c>
      <c r="D3775" t="inlineStr">
        <is>
          <t>VÄSTRA GÖTALANDS LÄN</t>
        </is>
      </c>
      <c r="E3775" t="inlineStr">
        <is>
          <t>MARIESTAD</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53275-2023</t>
        </is>
      </c>
      <c r="B3776" s="1" t="n">
        <v>45229</v>
      </c>
      <c r="C3776" s="1" t="n">
        <v>46011</v>
      </c>
      <c r="D3776" t="inlineStr">
        <is>
          <t>VÄSTRA GÖTALANDS LÄN</t>
        </is>
      </c>
      <c r="E3776" t="inlineStr">
        <is>
          <t>LIDKÖPING</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44267-2024</t>
        </is>
      </c>
      <c r="B3777" s="1" t="n">
        <v>45573.4730324074</v>
      </c>
      <c r="C3777" s="1" t="n">
        <v>46011</v>
      </c>
      <c r="D3777" t="inlineStr">
        <is>
          <t>VÄSTRA GÖTALANDS LÄN</t>
        </is>
      </c>
      <c r="E3777" t="inlineStr">
        <is>
          <t>MUNKEDAL</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3251-2022</t>
        </is>
      </c>
      <c r="B3778" s="1" t="n">
        <v>44583.48233796296</v>
      </c>
      <c r="C3778" s="1" t="n">
        <v>46011</v>
      </c>
      <c r="D3778" t="inlineStr">
        <is>
          <t>VÄSTRA GÖTALANDS LÄN</t>
        </is>
      </c>
      <c r="E3778" t="inlineStr">
        <is>
          <t>TRANEMO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44295-2024</t>
        </is>
      </c>
      <c r="B3779" s="1" t="n">
        <v>45573.54892361111</v>
      </c>
      <c r="C3779" s="1" t="n">
        <v>46011</v>
      </c>
      <c r="D3779" t="inlineStr">
        <is>
          <t>VÄSTRA GÖTALANDS LÄN</t>
        </is>
      </c>
      <c r="E3779" t="inlineStr">
        <is>
          <t>TRANEMO</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36891-2023</t>
        </is>
      </c>
      <c r="B3780" s="1" t="n">
        <v>45154.62202546297</v>
      </c>
      <c r="C3780" s="1" t="n">
        <v>46011</v>
      </c>
      <c r="D3780" t="inlineStr">
        <is>
          <t>VÄSTRA GÖTALANDS LÄN</t>
        </is>
      </c>
      <c r="E3780" t="inlineStr">
        <is>
          <t>MUNKEDAL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11883-2025</t>
        </is>
      </c>
      <c r="B3781" s="1" t="n">
        <v>45728</v>
      </c>
      <c r="C3781" s="1" t="n">
        <v>46011</v>
      </c>
      <c r="D3781" t="inlineStr">
        <is>
          <t>VÄSTRA GÖTALANDS LÄN</t>
        </is>
      </c>
      <c r="E3781" t="inlineStr">
        <is>
          <t>VÄNERSBORG</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14895-2025</t>
        </is>
      </c>
      <c r="B3782" s="1" t="n">
        <v>45743.47871527778</v>
      </c>
      <c r="C3782" s="1" t="n">
        <v>46011</v>
      </c>
      <c r="D3782" t="inlineStr">
        <is>
          <t>VÄSTRA GÖTALANDS LÄN</t>
        </is>
      </c>
      <c r="E3782" t="inlineStr">
        <is>
          <t>TANUM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17911-2024</t>
        </is>
      </c>
      <c r="B3783" s="1" t="n">
        <v>45419.51291666667</v>
      </c>
      <c r="C3783" s="1" t="n">
        <v>46011</v>
      </c>
      <c r="D3783" t="inlineStr">
        <is>
          <t>VÄSTRA GÖTALANDS LÄN</t>
        </is>
      </c>
      <c r="E3783" t="inlineStr">
        <is>
          <t>FÄRGELANDA</t>
        </is>
      </c>
      <c r="F3783" t="inlineStr">
        <is>
          <t>Kommuner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35526-2023</t>
        </is>
      </c>
      <c r="B3784" s="1" t="n">
        <v>45147</v>
      </c>
      <c r="C3784" s="1" t="n">
        <v>46011</v>
      </c>
      <c r="D3784" t="inlineStr">
        <is>
          <t>VÄSTRA GÖTALANDS LÄN</t>
        </is>
      </c>
      <c r="E3784" t="inlineStr">
        <is>
          <t>BOLLEBYGD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44104-2024</t>
        </is>
      </c>
      <c r="B3785" s="1" t="n">
        <v>45572.62975694444</v>
      </c>
      <c r="C3785" s="1" t="n">
        <v>46011</v>
      </c>
      <c r="D3785" t="inlineStr">
        <is>
          <t>VÄSTRA GÖTALANDS LÄN</t>
        </is>
      </c>
      <c r="E3785" t="inlineStr">
        <is>
          <t>LIDKÖPING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13346-2025</t>
        </is>
      </c>
      <c r="B3786" s="1" t="n">
        <v>45735.6306712963</v>
      </c>
      <c r="C3786" s="1" t="n">
        <v>46011</v>
      </c>
      <c r="D3786" t="inlineStr">
        <is>
          <t>VÄSTRA GÖTALANDS LÄN</t>
        </is>
      </c>
      <c r="E3786" t="inlineStr">
        <is>
          <t>GULLSPÅNG</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30593-2024</t>
        </is>
      </c>
      <c r="B3787" s="1" t="n">
        <v>45493.34775462963</v>
      </c>
      <c r="C3787" s="1" t="n">
        <v>46011</v>
      </c>
      <c r="D3787" t="inlineStr">
        <is>
          <t>VÄSTRA GÖTALANDS LÄN</t>
        </is>
      </c>
      <c r="E3787" t="inlineStr">
        <is>
          <t>TÖREBODA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38069-2023</t>
        </is>
      </c>
      <c r="B3788" s="1" t="n">
        <v>45160.75662037037</v>
      </c>
      <c r="C3788" s="1" t="n">
        <v>46011</v>
      </c>
      <c r="D3788" t="inlineStr">
        <is>
          <t>VÄSTRA GÖTALANDS LÄN</t>
        </is>
      </c>
      <c r="E3788" t="inlineStr">
        <is>
          <t>HERRLJUNGA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49922-2024</t>
        </is>
      </c>
      <c r="B3789" s="1" t="n">
        <v>45597.57326388889</v>
      </c>
      <c r="C3789" s="1" t="n">
        <v>46011</v>
      </c>
      <c r="D3789" t="inlineStr">
        <is>
          <t>VÄSTRA GÖTALANDS LÄN</t>
        </is>
      </c>
      <c r="E3789" t="inlineStr">
        <is>
          <t>GULLSPÅNG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24025-2025</t>
        </is>
      </c>
      <c r="B3790" s="1" t="n">
        <v>45796.46711805555</v>
      </c>
      <c r="C3790" s="1" t="n">
        <v>46011</v>
      </c>
      <c r="D3790" t="inlineStr">
        <is>
          <t>VÄSTRA GÖTALANDS LÄN</t>
        </is>
      </c>
      <c r="E3790" t="inlineStr">
        <is>
          <t>FALKÖPING</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23994-2025</t>
        </is>
      </c>
      <c r="B3791" s="1" t="n">
        <v>45796.40887731482</v>
      </c>
      <c r="C3791" s="1" t="n">
        <v>46011</v>
      </c>
      <c r="D3791" t="inlineStr">
        <is>
          <t>VÄSTRA GÖTALANDS LÄN</t>
        </is>
      </c>
      <c r="E3791" t="inlineStr">
        <is>
          <t>FALKÖPING</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23936-2025</t>
        </is>
      </c>
      <c r="B3792" s="1" t="n">
        <v>45795.82481481481</v>
      </c>
      <c r="C3792" s="1" t="n">
        <v>46011</v>
      </c>
      <c r="D3792" t="inlineStr">
        <is>
          <t>VÄSTRA GÖTALANDS LÄN</t>
        </is>
      </c>
      <c r="E3792" t="inlineStr">
        <is>
          <t>FÄRGELANDA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28040-2024</t>
        </is>
      </c>
      <c r="B3793" s="1" t="n">
        <v>45476.50533564815</v>
      </c>
      <c r="C3793" s="1" t="n">
        <v>46011</v>
      </c>
      <c r="D3793" t="inlineStr">
        <is>
          <t>VÄSTRA GÖTALANDS LÄN</t>
        </is>
      </c>
      <c r="E3793" t="inlineStr">
        <is>
          <t>BOLLEBYGD</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33993-2023</t>
        </is>
      </c>
      <c r="B3794" s="1" t="n">
        <v>45134.92311342592</v>
      </c>
      <c r="C3794" s="1" t="n">
        <v>46011</v>
      </c>
      <c r="D3794" t="inlineStr">
        <is>
          <t>VÄSTRA GÖTALANDS LÄN</t>
        </is>
      </c>
      <c r="E3794" t="inlineStr">
        <is>
          <t>LILLA EDET</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33996-2023</t>
        </is>
      </c>
      <c r="B3795" s="1" t="n">
        <v>45134.92869212963</v>
      </c>
      <c r="C3795" s="1" t="n">
        <v>46011</v>
      </c>
      <c r="D3795" t="inlineStr">
        <is>
          <t>VÄSTRA GÖTALANDS LÄN</t>
        </is>
      </c>
      <c r="E3795" t="inlineStr">
        <is>
          <t>LILLA EDET</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34058-2023</t>
        </is>
      </c>
      <c r="B3796" s="1" t="n">
        <v>45135</v>
      </c>
      <c r="C3796" s="1" t="n">
        <v>46011</v>
      </c>
      <c r="D3796" t="inlineStr">
        <is>
          <t>VÄSTRA GÖTALANDS LÄN</t>
        </is>
      </c>
      <c r="E3796" t="inlineStr">
        <is>
          <t>UDDEVALLA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34071-2023</t>
        </is>
      </c>
      <c r="B3797" s="1" t="n">
        <v>45135</v>
      </c>
      <c r="C3797" s="1" t="n">
        <v>46011</v>
      </c>
      <c r="D3797" t="inlineStr">
        <is>
          <t>VÄSTRA GÖTALANDS LÄN</t>
        </is>
      </c>
      <c r="E3797" t="inlineStr">
        <is>
          <t>MARK</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34080-2023</t>
        </is>
      </c>
      <c r="B3798" s="1" t="n">
        <v>45135</v>
      </c>
      <c r="C3798" s="1" t="n">
        <v>46011</v>
      </c>
      <c r="D3798" t="inlineStr">
        <is>
          <t>VÄSTRA GÖTALANDS LÄN</t>
        </is>
      </c>
      <c r="E3798" t="inlineStr">
        <is>
          <t>TANUM</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23065-2024</t>
        </is>
      </c>
      <c r="B3799" s="1" t="n">
        <v>45450.44878472222</v>
      </c>
      <c r="C3799" s="1" t="n">
        <v>46011</v>
      </c>
      <c r="D3799" t="inlineStr">
        <is>
          <t>VÄSTRA GÖTALANDS LÄN</t>
        </is>
      </c>
      <c r="E3799" t="inlineStr">
        <is>
          <t>VARA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22750-2024</t>
        </is>
      </c>
      <c r="B3800" s="1" t="n">
        <v>45448.41990740741</v>
      </c>
      <c r="C3800" s="1" t="n">
        <v>46011</v>
      </c>
      <c r="D3800" t="inlineStr">
        <is>
          <t>VÄSTRA GÖTALANDS LÄN</t>
        </is>
      </c>
      <c r="E3800" t="inlineStr">
        <is>
          <t>ORUST</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22834-2024</t>
        </is>
      </c>
      <c r="B3801" s="1" t="n">
        <v>45448.57018518518</v>
      </c>
      <c r="C3801" s="1" t="n">
        <v>46011</v>
      </c>
      <c r="D3801" t="inlineStr">
        <is>
          <t>VÄSTRA GÖTALANDS LÄN</t>
        </is>
      </c>
      <c r="E3801" t="inlineStr">
        <is>
          <t>BOLLEBYGD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24044-2025</t>
        </is>
      </c>
      <c r="B3802" s="1" t="n">
        <v>45796.49045138889</v>
      </c>
      <c r="C3802" s="1" t="n">
        <v>46011</v>
      </c>
      <c r="D3802" t="inlineStr">
        <is>
          <t>VÄSTRA GÖTALANDS LÄN</t>
        </is>
      </c>
      <c r="E3802" t="inlineStr">
        <is>
          <t>MUNKEDAL</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43559-2024</t>
        </is>
      </c>
      <c r="B3803" s="1" t="n">
        <v>45569.39606481481</v>
      </c>
      <c r="C3803" s="1" t="n">
        <v>46011</v>
      </c>
      <c r="D3803" t="inlineStr">
        <is>
          <t>VÄSTRA GÖTALANDS LÄN</t>
        </is>
      </c>
      <c r="E3803" t="inlineStr">
        <is>
          <t>TÖREBODA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32184-2023</t>
        </is>
      </c>
      <c r="B3804" s="1" t="n">
        <v>45119</v>
      </c>
      <c r="C3804" s="1" t="n">
        <v>46011</v>
      </c>
      <c r="D3804" t="inlineStr">
        <is>
          <t>VÄSTRA GÖTALANDS LÄN</t>
        </is>
      </c>
      <c r="E3804" t="inlineStr">
        <is>
          <t>MARK</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23831-2025</t>
        </is>
      </c>
      <c r="B3805" s="1" t="n">
        <v>45793.60144675926</v>
      </c>
      <c r="C3805" s="1" t="n">
        <v>46011</v>
      </c>
      <c r="D3805" t="inlineStr">
        <is>
          <t>VÄSTRA GÖTALANDS LÄN</t>
        </is>
      </c>
      <c r="E3805" t="inlineStr">
        <is>
          <t>SVENLJUNGA</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49184-2021</t>
        </is>
      </c>
      <c r="B3806" s="1" t="n">
        <v>44454.32413194444</v>
      </c>
      <c r="C3806" s="1" t="n">
        <v>46011</v>
      </c>
      <c r="D3806" t="inlineStr">
        <is>
          <t>VÄSTRA GÖTALANDS LÄN</t>
        </is>
      </c>
      <c r="E3806" t="inlineStr">
        <is>
          <t>SVENLJUNGA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72625-2021</t>
        </is>
      </c>
      <c r="B3807" s="1" t="n">
        <v>44546.55005787037</v>
      </c>
      <c r="C3807" s="1" t="n">
        <v>46011</v>
      </c>
      <c r="D3807" t="inlineStr">
        <is>
          <t>VÄSTRA GÖTALANDS LÄN</t>
        </is>
      </c>
      <c r="E3807" t="inlineStr">
        <is>
          <t>STRÖMSTAD</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9697-2024</t>
        </is>
      </c>
      <c r="B3808" s="1" t="n">
        <v>45362</v>
      </c>
      <c r="C3808" s="1" t="n">
        <v>46011</v>
      </c>
      <c r="D3808" t="inlineStr">
        <is>
          <t>VÄSTRA GÖTALANDS LÄN</t>
        </is>
      </c>
      <c r="E3808" t="inlineStr">
        <is>
          <t>TANUM</t>
        </is>
      </c>
      <c r="F3808" t="inlineStr">
        <is>
          <t>Kyrkan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38287-2025</t>
        </is>
      </c>
      <c r="B3809" s="1" t="n">
        <v>45882</v>
      </c>
      <c r="C3809" s="1" t="n">
        <v>46011</v>
      </c>
      <c r="D3809" t="inlineStr">
        <is>
          <t>VÄSTRA GÖTALANDS LÄN</t>
        </is>
      </c>
      <c r="E3809" t="inlineStr">
        <is>
          <t>TÖREBODA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57727-2024</t>
        </is>
      </c>
      <c r="B3810" s="1" t="n">
        <v>45630.70841435185</v>
      </c>
      <c r="C3810" s="1" t="n">
        <v>46011</v>
      </c>
      <c r="D3810" t="inlineStr">
        <is>
          <t>VÄSTRA GÖTALANDS LÄN</t>
        </is>
      </c>
      <c r="E3810" t="inlineStr">
        <is>
          <t>KARLSBORG</t>
        </is>
      </c>
      <c r="F3810" t="inlineStr">
        <is>
          <t>Övriga Aktiebolag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2165-2024</t>
        </is>
      </c>
      <c r="B3811" s="1" t="n">
        <v>45309.60811342593</v>
      </c>
      <c r="C3811" s="1" t="n">
        <v>46011</v>
      </c>
      <c r="D3811" t="inlineStr">
        <is>
          <t>VÄSTRA GÖTALANDS LÄN</t>
        </is>
      </c>
      <c r="E3811" t="inlineStr">
        <is>
          <t>BENGTSFORS</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56116-2022</t>
        </is>
      </c>
      <c r="B3812" s="1" t="n">
        <v>44889.66744212963</v>
      </c>
      <c r="C3812" s="1" t="n">
        <v>46011</v>
      </c>
      <c r="D3812" t="inlineStr">
        <is>
          <t>VÄSTRA GÖTALANDS LÄN</t>
        </is>
      </c>
      <c r="E3812" t="inlineStr">
        <is>
          <t>TROLLHÄTTAN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38243-2024</t>
        </is>
      </c>
      <c r="B3813" s="1" t="n">
        <v>45545.57233796296</v>
      </c>
      <c r="C3813" s="1" t="n">
        <v>46011</v>
      </c>
      <c r="D3813" t="inlineStr">
        <is>
          <t>VÄSTRA GÖTALANDS LÄN</t>
        </is>
      </c>
      <c r="E3813" t="inlineStr">
        <is>
          <t>ESSUNGA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23670-2025</t>
        </is>
      </c>
      <c r="B3814" s="1" t="n">
        <v>45792.94814814815</v>
      </c>
      <c r="C3814" s="1" t="n">
        <v>46011</v>
      </c>
      <c r="D3814" t="inlineStr">
        <is>
          <t>VÄSTRA GÖTALANDS LÄN</t>
        </is>
      </c>
      <c r="E3814" t="inlineStr">
        <is>
          <t>ÅMÅL</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37656-2023</t>
        </is>
      </c>
      <c r="B3815" s="1" t="n">
        <v>45159.51996527778</v>
      </c>
      <c r="C3815" s="1" t="n">
        <v>46011</v>
      </c>
      <c r="D3815" t="inlineStr">
        <is>
          <t>VÄSTRA GÖTALANDS LÄN</t>
        </is>
      </c>
      <c r="E3815" t="inlineStr">
        <is>
          <t>SKÖVDE</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120-2024</t>
        </is>
      </c>
      <c r="B3816" s="1" t="n">
        <v>45294.3707175926</v>
      </c>
      <c r="C3816" s="1" t="n">
        <v>46011</v>
      </c>
      <c r="D3816" t="inlineStr">
        <is>
          <t>VÄSTRA GÖTALANDS LÄN</t>
        </is>
      </c>
      <c r="E3816" t="inlineStr">
        <is>
          <t>VÄNERSBORG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11936-2025</t>
        </is>
      </c>
      <c r="B3817" s="1" t="n">
        <v>45728.52953703704</v>
      </c>
      <c r="C3817" s="1" t="n">
        <v>46011</v>
      </c>
      <c r="D3817" t="inlineStr">
        <is>
          <t>VÄSTRA GÖTALANDS LÄN</t>
        </is>
      </c>
      <c r="E3817" t="inlineStr">
        <is>
          <t>TANUM</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63178-2023</t>
        </is>
      </c>
      <c r="B3818" s="1" t="n">
        <v>45273.5790625</v>
      </c>
      <c r="C3818" s="1" t="n">
        <v>46011</v>
      </c>
      <c r="D3818" t="inlineStr">
        <is>
          <t>VÄSTRA GÖTALANDS LÄN</t>
        </is>
      </c>
      <c r="E3818" t="inlineStr">
        <is>
          <t>BORÅS</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12784-2025</t>
        </is>
      </c>
      <c r="B3819" s="1" t="n">
        <v>45733.59857638889</v>
      </c>
      <c r="C3819" s="1" t="n">
        <v>46011</v>
      </c>
      <c r="D3819" t="inlineStr">
        <is>
          <t>VÄSTRA GÖTALANDS LÄN</t>
        </is>
      </c>
      <c r="E3819" t="inlineStr">
        <is>
          <t>LILLA EDET</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49134-2021</t>
        </is>
      </c>
      <c r="B3820" s="1" t="n">
        <v>44453</v>
      </c>
      <c r="C3820" s="1" t="n">
        <v>46011</v>
      </c>
      <c r="D3820" t="inlineStr">
        <is>
          <t>VÄSTRA GÖTALANDS LÄN</t>
        </is>
      </c>
      <c r="E3820" t="inlineStr">
        <is>
          <t>ORUST</t>
        </is>
      </c>
      <c r="F3820" t="inlineStr">
        <is>
          <t>Kommuner</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45217-2022</t>
        </is>
      </c>
      <c r="B3821" s="1" t="n">
        <v>44844.45476851852</v>
      </c>
      <c r="C3821" s="1" t="n">
        <v>46011</v>
      </c>
      <c r="D3821" t="inlineStr">
        <is>
          <t>VÄSTRA GÖTALANDS LÄN</t>
        </is>
      </c>
      <c r="E3821" t="inlineStr">
        <is>
          <t>BORÅS</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3571-2025</t>
        </is>
      </c>
      <c r="B3822" s="1" t="n">
        <v>45680</v>
      </c>
      <c r="C3822" s="1" t="n">
        <v>46011</v>
      </c>
      <c r="D3822" t="inlineStr">
        <is>
          <t>VÄSTRA GÖTALANDS LÄN</t>
        </is>
      </c>
      <c r="E3822" t="inlineStr">
        <is>
          <t>ÅMÅL</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44033-2023</t>
        </is>
      </c>
      <c r="B3823" s="1" t="n">
        <v>45182</v>
      </c>
      <c r="C3823" s="1" t="n">
        <v>46011</v>
      </c>
      <c r="D3823" t="inlineStr">
        <is>
          <t>VÄSTRA GÖTALANDS LÄN</t>
        </is>
      </c>
      <c r="E3823" t="inlineStr">
        <is>
          <t>SVENLJUNGA</t>
        </is>
      </c>
      <c r="F3823" t="inlineStr">
        <is>
          <t>Kyrkan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55323-2022</t>
        </is>
      </c>
      <c r="B3824" s="1" t="n">
        <v>44887.42815972222</v>
      </c>
      <c r="C3824" s="1" t="n">
        <v>46011</v>
      </c>
      <c r="D3824" t="inlineStr">
        <is>
          <t>VÄSTRA GÖTALANDS LÄN</t>
        </is>
      </c>
      <c r="E3824" t="inlineStr">
        <is>
          <t>ULRICEHAMN</t>
        </is>
      </c>
      <c r="F3824" t="inlineStr">
        <is>
          <t>Sveaskog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52869-2024</t>
        </is>
      </c>
      <c r="B3825" s="1" t="n">
        <v>45610.62446759259</v>
      </c>
      <c r="C3825" s="1" t="n">
        <v>46011</v>
      </c>
      <c r="D3825" t="inlineStr">
        <is>
          <t>VÄSTRA GÖTALANDS LÄN</t>
        </is>
      </c>
      <c r="E3825" t="inlineStr">
        <is>
          <t>MARIESTAD</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5485-2024</t>
        </is>
      </c>
      <c r="B3826" s="1" t="n">
        <v>45334</v>
      </c>
      <c r="C3826" s="1" t="n">
        <v>46011</v>
      </c>
      <c r="D3826" t="inlineStr">
        <is>
          <t>VÄSTRA GÖTALANDS LÄN</t>
        </is>
      </c>
      <c r="E3826" t="inlineStr">
        <is>
          <t>ULRICEHAMN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45978-2022</t>
        </is>
      </c>
      <c r="B3827" s="1" t="n">
        <v>44846.69284722222</v>
      </c>
      <c r="C3827" s="1" t="n">
        <v>46011</v>
      </c>
      <c r="D3827" t="inlineStr">
        <is>
          <t>VÄSTRA GÖTALANDS LÄN</t>
        </is>
      </c>
      <c r="E3827" t="inlineStr">
        <is>
          <t>VÅRGÅRDA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6845-2024</t>
        </is>
      </c>
      <c r="B3828" s="1" t="n">
        <v>45342</v>
      </c>
      <c r="C3828" s="1" t="n">
        <v>46011</v>
      </c>
      <c r="D3828" t="inlineStr">
        <is>
          <t>VÄSTRA GÖTALANDS LÄN</t>
        </is>
      </c>
      <c r="E3828" t="inlineStr">
        <is>
          <t>MARK</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38313-2025</t>
        </is>
      </c>
      <c r="B3829" s="1" t="n">
        <v>45883.47704861111</v>
      </c>
      <c r="C3829" s="1" t="n">
        <v>46011</v>
      </c>
      <c r="D3829" t="inlineStr">
        <is>
          <t>VÄSTRA GÖTALANDS LÄN</t>
        </is>
      </c>
      <c r="E3829" t="inlineStr">
        <is>
          <t>ULRICEHAMN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23874-2025</t>
        </is>
      </c>
      <c r="B3830" s="1" t="n">
        <v>45793.68196759259</v>
      </c>
      <c r="C3830" s="1" t="n">
        <v>46011</v>
      </c>
      <c r="D3830" t="inlineStr">
        <is>
          <t>VÄSTRA GÖTALANDS LÄN</t>
        </is>
      </c>
      <c r="E3830" t="inlineStr">
        <is>
          <t>FALKÖPING</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38266-2021</t>
        </is>
      </c>
      <c r="B3831" s="1" t="n">
        <v>44405.86967592593</v>
      </c>
      <c r="C3831" s="1" t="n">
        <v>46011</v>
      </c>
      <c r="D3831" t="inlineStr">
        <is>
          <t>VÄSTRA GÖTALANDS LÄN</t>
        </is>
      </c>
      <c r="E3831" t="inlineStr">
        <is>
          <t>TÖREBODA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4782-2024</t>
        </is>
      </c>
      <c r="B3832" s="1" t="n">
        <v>45328</v>
      </c>
      <c r="C3832" s="1" t="n">
        <v>46011</v>
      </c>
      <c r="D3832" t="inlineStr">
        <is>
          <t>VÄSTRA GÖTALANDS LÄN</t>
        </is>
      </c>
      <c r="E3832" t="inlineStr">
        <is>
          <t>BOLLEBYGD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4783-2024</t>
        </is>
      </c>
      <c r="B3833" s="1" t="n">
        <v>45328</v>
      </c>
      <c r="C3833" s="1" t="n">
        <v>46011</v>
      </c>
      <c r="D3833" t="inlineStr">
        <is>
          <t>VÄSTRA GÖTALANDS LÄN</t>
        </is>
      </c>
      <c r="E3833" t="inlineStr">
        <is>
          <t>BOLLEBYGD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36299-2021</t>
        </is>
      </c>
      <c r="B3834" s="1" t="n">
        <v>44390</v>
      </c>
      <c r="C3834" s="1" t="n">
        <v>46011</v>
      </c>
      <c r="D3834" t="inlineStr">
        <is>
          <t>VÄSTRA GÖTALANDS LÄN</t>
        </is>
      </c>
      <c r="E3834" t="inlineStr">
        <is>
          <t>TRANEMO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45667-2022</t>
        </is>
      </c>
      <c r="B3835" s="1" t="n">
        <v>44845.71525462963</v>
      </c>
      <c r="C3835" s="1" t="n">
        <v>46011</v>
      </c>
      <c r="D3835" t="inlineStr">
        <is>
          <t>VÄSTRA GÖTALANDS LÄN</t>
        </is>
      </c>
      <c r="E3835" t="inlineStr">
        <is>
          <t>ÅMÅL</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24180-2025</t>
        </is>
      </c>
      <c r="B3836" s="1" t="n">
        <v>45796.75053240741</v>
      </c>
      <c r="C3836" s="1" t="n">
        <v>46011</v>
      </c>
      <c r="D3836" t="inlineStr">
        <is>
          <t>VÄSTRA GÖTALANDS LÄN</t>
        </is>
      </c>
      <c r="E3836" t="inlineStr">
        <is>
          <t>MUNKEDAL</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56978-2022</t>
        </is>
      </c>
      <c r="B3837" s="1" t="n">
        <v>44894</v>
      </c>
      <c r="C3837" s="1" t="n">
        <v>46011</v>
      </c>
      <c r="D3837" t="inlineStr">
        <is>
          <t>VÄSTRA GÖTALANDS LÄN</t>
        </is>
      </c>
      <c r="E3837" t="inlineStr">
        <is>
          <t>BENGTSFORS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59204-2022</t>
        </is>
      </c>
      <c r="B3838" s="1" t="n">
        <v>44897</v>
      </c>
      <c r="C3838" s="1" t="n">
        <v>46011</v>
      </c>
      <c r="D3838" t="inlineStr">
        <is>
          <t>VÄSTRA GÖTALANDS LÄN</t>
        </is>
      </c>
      <c r="E3838" t="inlineStr">
        <is>
          <t>GULLSPÅNG</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41581-2023</t>
        </is>
      </c>
      <c r="B3839" s="1" t="n">
        <v>45173</v>
      </c>
      <c r="C3839" s="1" t="n">
        <v>46011</v>
      </c>
      <c r="D3839" t="inlineStr">
        <is>
          <t>VÄSTRA GÖTALANDS LÄN</t>
        </is>
      </c>
      <c r="E3839" t="inlineStr">
        <is>
          <t>LYSEKIL</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19794-2023</t>
        </is>
      </c>
      <c r="B3840" s="1" t="n">
        <v>45051</v>
      </c>
      <c r="C3840" s="1" t="n">
        <v>46011</v>
      </c>
      <c r="D3840" t="inlineStr">
        <is>
          <t>VÄSTRA GÖTALANDS LÄN</t>
        </is>
      </c>
      <c r="E3840" t="inlineStr">
        <is>
          <t>LYSEKIL</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46929-2023</t>
        </is>
      </c>
      <c r="B3841" s="1" t="n">
        <v>45201</v>
      </c>
      <c r="C3841" s="1" t="n">
        <v>46011</v>
      </c>
      <c r="D3841" t="inlineStr">
        <is>
          <t>VÄSTRA GÖTALANDS LÄN</t>
        </is>
      </c>
      <c r="E3841" t="inlineStr">
        <is>
          <t>BENGTSFORS</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69968-2021</t>
        </is>
      </c>
      <c r="B3842" s="1" t="n">
        <v>44533.39519675926</v>
      </c>
      <c r="C3842" s="1" t="n">
        <v>46011</v>
      </c>
      <c r="D3842" t="inlineStr">
        <is>
          <t>VÄSTRA GÖTALANDS LÄN</t>
        </is>
      </c>
      <c r="E3842" t="inlineStr">
        <is>
          <t>HERRLJUNGA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4806-2023</t>
        </is>
      </c>
      <c r="B3843" s="1" t="n">
        <v>44957.62646990741</v>
      </c>
      <c r="C3843" s="1" t="n">
        <v>46011</v>
      </c>
      <c r="D3843" t="inlineStr">
        <is>
          <t>VÄSTRA GÖTALANDS LÄN</t>
        </is>
      </c>
      <c r="E3843" t="inlineStr">
        <is>
          <t>ALINGSÅS</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51564-2023</t>
        </is>
      </c>
      <c r="B3844" s="1" t="n">
        <v>45222</v>
      </c>
      <c r="C3844" s="1" t="n">
        <v>46011</v>
      </c>
      <c r="D3844" t="inlineStr">
        <is>
          <t>VÄSTRA GÖTALANDS LÄN</t>
        </is>
      </c>
      <c r="E3844" t="inlineStr">
        <is>
          <t>ALE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2204-2023</t>
        </is>
      </c>
      <c r="B3845" s="1" t="n">
        <v>44942.38228009259</v>
      </c>
      <c r="C3845" s="1" t="n">
        <v>46011</v>
      </c>
      <c r="D3845" t="inlineStr">
        <is>
          <t>VÄSTRA GÖTALANDS LÄN</t>
        </is>
      </c>
      <c r="E3845" t="inlineStr">
        <is>
          <t>HERRLJUNGA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2280-2023</t>
        </is>
      </c>
      <c r="B3846" s="1" t="n">
        <v>44942.51903935185</v>
      </c>
      <c r="C3846" s="1" t="n">
        <v>46011</v>
      </c>
      <c r="D3846" t="inlineStr">
        <is>
          <t>VÄSTRA GÖTALANDS LÄN</t>
        </is>
      </c>
      <c r="E3846" t="inlineStr">
        <is>
          <t>DALS-ED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24694-2025</t>
        </is>
      </c>
      <c r="B3847" s="1" t="n">
        <v>45798.68462962963</v>
      </c>
      <c r="C3847" s="1" t="n">
        <v>46011</v>
      </c>
      <c r="D3847" t="inlineStr">
        <is>
          <t>VÄSTRA GÖTALANDS LÄN</t>
        </is>
      </c>
      <c r="E3847" t="inlineStr">
        <is>
          <t>MARK</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24695-2025</t>
        </is>
      </c>
      <c r="B3848" s="1" t="n">
        <v>45798.68631944444</v>
      </c>
      <c r="C3848" s="1" t="n">
        <v>46011</v>
      </c>
      <c r="D3848" t="inlineStr">
        <is>
          <t>VÄSTRA GÖTALANDS LÄN</t>
        </is>
      </c>
      <c r="E3848" t="inlineStr">
        <is>
          <t>FALKÖPING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73437-2021</t>
        </is>
      </c>
      <c r="B3849" s="1" t="n">
        <v>44551</v>
      </c>
      <c r="C3849" s="1" t="n">
        <v>46011</v>
      </c>
      <c r="D3849" t="inlineStr">
        <is>
          <t>VÄSTRA GÖTALANDS LÄN</t>
        </is>
      </c>
      <c r="E3849" t="inlineStr">
        <is>
          <t>UDDEVALLA</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2345-2023</t>
        </is>
      </c>
      <c r="B3850" s="1" t="n">
        <v>44942</v>
      </c>
      <c r="C3850" s="1" t="n">
        <v>46011</v>
      </c>
      <c r="D3850" t="inlineStr">
        <is>
          <t>VÄSTRA GÖTALANDS LÄN</t>
        </is>
      </c>
      <c r="E3850" t="inlineStr">
        <is>
          <t>VÅRGÅRDA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24609-2025</t>
        </is>
      </c>
      <c r="B3851" s="1" t="n">
        <v>45798.58065972223</v>
      </c>
      <c r="C3851" s="1" t="n">
        <v>46011</v>
      </c>
      <c r="D3851" t="inlineStr">
        <is>
          <t>VÄSTRA GÖTALANDS LÄN</t>
        </is>
      </c>
      <c r="E3851" t="inlineStr">
        <is>
          <t>VARA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52045-2022</t>
        </is>
      </c>
      <c r="B3852" s="1" t="n">
        <v>44873.31652777778</v>
      </c>
      <c r="C3852" s="1" t="n">
        <v>46011</v>
      </c>
      <c r="D3852" t="inlineStr">
        <is>
          <t>VÄSTRA GÖTALANDS LÄN</t>
        </is>
      </c>
      <c r="E3852" t="inlineStr">
        <is>
          <t>HÄRRYDA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38600-2025</t>
        </is>
      </c>
      <c r="B3853" s="1" t="n">
        <v>45884.49962962963</v>
      </c>
      <c r="C3853" s="1" t="n">
        <v>46011</v>
      </c>
      <c r="D3853" t="inlineStr">
        <is>
          <t>VÄSTRA GÖTALANDS LÄN</t>
        </is>
      </c>
      <c r="E3853" t="inlineStr">
        <is>
          <t>DALS-ED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56830-2022</t>
        </is>
      </c>
      <c r="B3854" s="1" t="n">
        <v>44894</v>
      </c>
      <c r="C3854" s="1" t="n">
        <v>46011</v>
      </c>
      <c r="D3854" t="inlineStr">
        <is>
          <t>VÄSTRA GÖTALANDS LÄN</t>
        </is>
      </c>
      <c r="E3854" t="inlineStr">
        <is>
          <t>ULRICEHAMN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29317-2024</t>
        </is>
      </c>
      <c r="B3855" s="1" t="n">
        <v>45483.41152777777</v>
      </c>
      <c r="C3855" s="1" t="n">
        <v>46011</v>
      </c>
      <c r="D3855" t="inlineStr">
        <is>
          <t>VÄSTRA GÖTALANDS LÄN</t>
        </is>
      </c>
      <c r="E3855" t="inlineStr">
        <is>
          <t>BORÅS</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719-2024</t>
        </is>
      </c>
      <c r="B3856" s="1" t="n">
        <v>45300.4333449074</v>
      </c>
      <c r="C3856" s="1" t="n">
        <v>46011</v>
      </c>
      <c r="D3856" t="inlineStr">
        <is>
          <t>VÄSTRA GÖTALANDS LÄN</t>
        </is>
      </c>
      <c r="E3856" t="inlineStr">
        <is>
          <t>TÖREBODA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29318-2024</t>
        </is>
      </c>
      <c r="B3857" s="1" t="n">
        <v>45483.41474537037</v>
      </c>
      <c r="C3857" s="1" t="n">
        <v>46011</v>
      </c>
      <c r="D3857" t="inlineStr">
        <is>
          <t>VÄSTRA GÖTALANDS LÄN</t>
        </is>
      </c>
      <c r="E3857" t="inlineStr">
        <is>
          <t>BORÅS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29357-2024</t>
        </is>
      </c>
      <c r="B3858" s="1" t="n">
        <v>45483</v>
      </c>
      <c r="C3858" s="1" t="n">
        <v>46011</v>
      </c>
      <c r="D3858" t="inlineStr">
        <is>
          <t>VÄSTRA GÖTALANDS LÄN</t>
        </is>
      </c>
      <c r="E3858" t="inlineStr">
        <is>
          <t>KARLSBORG</t>
        </is>
      </c>
      <c r="F3858" t="inlineStr">
        <is>
          <t>Sveaskog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24396-2025</t>
        </is>
      </c>
      <c r="B3859" s="1" t="n">
        <v>45797.63988425926</v>
      </c>
      <c r="C3859" s="1" t="n">
        <v>46011</v>
      </c>
      <c r="D3859" t="inlineStr">
        <is>
          <t>VÄSTRA GÖTALANDS LÄN</t>
        </is>
      </c>
      <c r="E3859" t="inlineStr">
        <is>
          <t>MUNKEDAL</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24397-2025</t>
        </is>
      </c>
      <c r="B3860" s="1" t="n">
        <v>45797.64394675926</v>
      </c>
      <c r="C3860" s="1" t="n">
        <v>46011</v>
      </c>
      <c r="D3860" t="inlineStr">
        <is>
          <t>VÄSTRA GÖTALANDS LÄN</t>
        </is>
      </c>
      <c r="E3860" t="inlineStr">
        <is>
          <t>MUNKEDAL</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64784-2023</t>
        </is>
      </c>
      <c r="B3861" s="1" t="n">
        <v>45282</v>
      </c>
      <c r="C3861" s="1" t="n">
        <v>46011</v>
      </c>
      <c r="D3861" t="inlineStr">
        <is>
          <t>VÄSTRA GÖTALANDS LÄN</t>
        </is>
      </c>
      <c r="E3861" t="inlineStr">
        <is>
          <t>TROLLHÄTTAN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24559-2025</t>
        </is>
      </c>
      <c r="B3862" s="1" t="n">
        <v>45798.45791666667</v>
      </c>
      <c r="C3862" s="1" t="n">
        <v>46011</v>
      </c>
      <c r="D3862" t="inlineStr">
        <is>
          <t>VÄSTRA GÖTALANDS LÄN</t>
        </is>
      </c>
      <c r="E3862" t="inlineStr">
        <is>
          <t>TROLLHÄTTAN</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32188-2024</t>
        </is>
      </c>
      <c r="B3863" s="1" t="n">
        <v>45511.65049768519</v>
      </c>
      <c r="C3863" s="1" t="n">
        <v>46011</v>
      </c>
      <c r="D3863" t="inlineStr">
        <is>
          <t>VÄSTRA GÖTALANDS LÄN</t>
        </is>
      </c>
      <c r="E3863" t="inlineStr">
        <is>
          <t>FALKÖPING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24581-2025</t>
        </is>
      </c>
      <c r="B3864" s="1" t="n">
        <v>45798.49758101852</v>
      </c>
      <c r="C3864" s="1" t="n">
        <v>46011</v>
      </c>
      <c r="D3864" t="inlineStr">
        <is>
          <t>VÄSTRA GÖTALANDS LÄN</t>
        </is>
      </c>
      <c r="E3864" t="inlineStr">
        <is>
          <t>GRÄSTORP</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24356-2025</t>
        </is>
      </c>
      <c r="B3865" s="1" t="n">
        <v>45797.59305555555</v>
      </c>
      <c r="C3865" s="1" t="n">
        <v>46011</v>
      </c>
      <c r="D3865" t="inlineStr">
        <is>
          <t>VÄSTRA GÖTALANDS LÄN</t>
        </is>
      </c>
      <c r="E3865" t="inlineStr">
        <is>
          <t>LIDKÖPING</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6120-2023</t>
        </is>
      </c>
      <c r="B3866" s="1" t="n">
        <v>44964</v>
      </c>
      <c r="C3866" s="1" t="n">
        <v>46011</v>
      </c>
      <c r="D3866" t="inlineStr">
        <is>
          <t>VÄSTRA GÖTALANDS LÄN</t>
        </is>
      </c>
      <c r="E3866" t="inlineStr">
        <is>
          <t>ALINGSÅS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30988-2023</t>
        </is>
      </c>
      <c r="B3867" s="1" t="n">
        <v>45113.51958333333</v>
      </c>
      <c r="C3867" s="1" t="n">
        <v>46011</v>
      </c>
      <c r="D3867" t="inlineStr">
        <is>
          <t>VÄSTRA GÖTALANDS LÄN</t>
        </is>
      </c>
      <c r="E3867" t="inlineStr">
        <is>
          <t>SVENLJUNGA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40530-2024</t>
        </is>
      </c>
      <c r="B3868" s="1" t="n">
        <v>45555.60775462963</v>
      </c>
      <c r="C3868" s="1" t="n">
        <v>46011</v>
      </c>
      <c r="D3868" t="inlineStr">
        <is>
          <t>VÄSTRA GÖTALANDS LÄN</t>
        </is>
      </c>
      <c r="E3868" t="inlineStr">
        <is>
          <t>GULLSPÅNG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24700-2025</t>
        </is>
      </c>
      <c r="B3869" s="1" t="n">
        <v>45798.74115740741</v>
      </c>
      <c r="C3869" s="1" t="n">
        <v>46011</v>
      </c>
      <c r="D3869" t="inlineStr">
        <is>
          <t>VÄSTRA GÖTALANDS LÄN</t>
        </is>
      </c>
      <c r="E3869" t="inlineStr">
        <is>
          <t>ULRICEHAMN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42619-2022</t>
        </is>
      </c>
      <c r="B3870" s="1" t="n">
        <v>44831.86186342593</v>
      </c>
      <c r="C3870" s="1" t="n">
        <v>46011</v>
      </c>
      <c r="D3870" t="inlineStr">
        <is>
          <t>VÄSTRA GÖTALANDS LÄN</t>
        </is>
      </c>
      <c r="E3870" t="inlineStr">
        <is>
          <t>ALINGSÅS</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25876-2024</t>
        </is>
      </c>
      <c r="B3871" s="1" t="n">
        <v>45467.48260416667</v>
      </c>
      <c r="C3871" s="1" t="n">
        <v>46011</v>
      </c>
      <c r="D3871" t="inlineStr">
        <is>
          <t>VÄSTRA GÖTALANDS LÄN</t>
        </is>
      </c>
      <c r="E3871" t="inlineStr">
        <is>
          <t>TRANEMO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53906-2021</t>
        </is>
      </c>
      <c r="B3872" s="1" t="n">
        <v>44469</v>
      </c>
      <c r="C3872" s="1" t="n">
        <v>46011</v>
      </c>
      <c r="D3872" t="inlineStr">
        <is>
          <t>VÄSTRA GÖTALANDS LÄN</t>
        </is>
      </c>
      <c r="E3872" t="inlineStr">
        <is>
          <t>FÄRGELANDA</t>
        </is>
      </c>
      <c r="G3872" t="n">
        <v>20.8</v>
      </c>
      <c r="H3872" t="n">
        <v>0</v>
      </c>
      <c r="I3872" t="n">
        <v>0</v>
      </c>
      <c r="J3872" t="n">
        <v>0</v>
      </c>
      <c r="K3872" t="n">
        <v>0</v>
      </c>
      <c r="L3872" t="n">
        <v>0</v>
      </c>
      <c r="M3872" t="n">
        <v>0</v>
      </c>
      <c r="N3872" t="n">
        <v>0</v>
      </c>
      <c r="O3872" t="n">
        <v>0</v>
      </c>
      <c r="P3872" t="n">
        <v>0</v>
      </c>
      <c r="Q3872" t="n">
        <v>0</v>
      </c>
      <c r="R3872" s="2" t="inlineStr"/>
    </row>
    <row r="3873" ht="15" customHeight="1">
      <c r="A3873" t="inlineStr">
        <is>
          <t>A 24587-2025</t>
        </is>
      </c>
      <c r="B3873" s="1" t="n">
        <v>45798.52392361111</v>
      </c>
      <c r="C3873" s="1" t="n">
        <v>46011</v>
      </c>
      <c r="D3873" t="inlineStr">
        <is>
          <t>VÄSTRA GÖTALANDS LÄN</t>
        </is>
      </c>
      <c r="E3873" t="inlineStr">
        <is>
          <t>ULRICEHAMN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59373-2023</t>
        </is>
      </c>
      <c r="B3874" s="1" t="n">
        <v>45253.74621527778</v>
      </c>
      <c r="C3874" s="1" t="n">
        <v>46011</v>
      </c>
      <c r="D3874" t="inlineStr">
        <is>
          <t>VÄSTRA GÖTALANDS LÄN</t>
        </is>
      </c>
      <c r="E3874" t="inlineStr">
        <is>
          <t>GULLSPÅNG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38499-2025</t>
        </is>
      </c>
      <c r="B3875" s="1" t="n">
        <v>45884.37276620371</v>
      </c>
      <c r="C3875" s="1" t="n">
        <v>46011</v>
      </c>
      <c r="D3875" t="inlineStr">
        <is>
          <t>VÄSTRA GÖTALANDS LÄN</t>
        </is>
      </c>
      <c r="E3875" t="inlineStr">
        <is>
          <t>SKÖVDE</t>
        </is>
      </c>
      <c r="F3875" t="inlineStr">
        <is>
          <t>Kyrkan</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32961-2025</t>
        </is>
      </c>
      <c r="B3876" s="1" t="n">
        <v>45839.71287037037</v>
      </c>
      <c r="C3876" s="1" t="n">
        <v>46011</v>
      </c>
      <c r="D3876" t="inlineStr">
        <is>
          <t>VÄSTRA GÖTALANDS LÄN</t>
        </is>
      </c>
      <c r="E3876" t="inlineStr">
        <is>
          <t>MARK</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63886-2023</t>
        </is>
      </c>
      <c r="B3877" s="1" t="n">
        <v>45278</v>
      </c>
      <c r="C3877" s="1" t="n">
        <v>46011</v>
      </c>
      <c r="D3877" t="inlineStr">
        <is>
          <t>VÄSTRA GÖTALANDS LÄN</t>
        </is>
      </c>
      <c r="E3877" t="inlineStr">
        <is>
          <t>LYSEKIL</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56752-2023</t>
        </is>
      </c>
      <c r="B3878" s="1" t="n">
        <v>45244.36944444444</v>
      </c>
      <c r="C3878" s="1" t="n">
        <v>46011</v>
      </c>
      <c r="D3878" t="inlineStr">
        <is>
          <t>VÄSTRA GÖTALANDS LÄN</t>
        </is>
      </c>
      <c r="E3878" t="inlineStr">
        <is>
          <t>ALINGSÅS</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33300-2021</t>
        </is>
      </c>
      <c r="B3879" s="1" t="n">
        <v>44377.42493055556</v>
      </c>
      <c r="C3879" s="1" t="n">
        <v>46011</v>
      </c>
      <c r="D3879" t="inlineStr">
        <is>
          <t>VÄSTRA GÖTALANDS LÄN</t>
        </is>
      </c>
      <c r="E3879" t="inlineStr">
        <is>
          <t>BORÅS</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33376-2021</t>
        </is>
      </c>
      <c r="B3880" s="1" t="n">
        <v>44377</v>
      </c>
      <c r="C3880" s="1" t="n">
        <v>46011</v>
      </c>
      <c r="D3880" t="inlineStr">
        <is>
          <t>VÄSTRA GÖTALANDS LÄN</t>
        </is>
      </c>
      <c r="E3880" t="inlineStr">
        <is>
          <t>MARK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24297-2025</t>
        </is>
      </c>
      <c r="B3881" s="1" t="n">
        <v>45797.4727199074</v>
      </c>
      <c r="C3881" s="1" t="n">
        <v>46011</v>
      </c>
      <c r="D3881" t="inlineStr">
        <is>
          <t>VÄSTRA GÖTALANDS LÄN</t>
        </is>
      </c>
      <c r="E3881" t="inlineStr">
        <is>
          <t>SVENLJUNGA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24312-2025</t>
        </is>
      </c>
      <c r="B3882" s="1" t="n">
        <v>45797.51908564815</v>
      </c>
      <c r="C3882" s="1" t="n">
        <v>46011</v>
      </c>
      <c r="D3882" t="inlineStr">
        <is>
          <t>VÄSTRA GÖTALANDS LÄN</t>
        </is>
      </c>
      <c r="E3882" t="inlineStr">
        <is>
          <t>MELLERUD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63735-2023</t>
        </is>
      </c>
      <c r="B3883" s="1" t="n">
        <v>45277.77255787037</v>
      </c>
      <c r="C3883" s="1" t="n">
        <v>46011</v>
      </c>
      <c r="D3883" t="inlineStr">
        <is>
          <t>VÄSTRA GÖTALANDS LÄN</t>
        </is>
      </c>
      <c r="E3883" t="inlineStr">
        <is>
          <t>HERRLJUNGA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24466-2025</t>
        </is>
      </c>
      <c r="B3884" s="1" t="n">
        <v>45798.35645833334</v>
      </c>
      <c r="C3884" s="1" t="n">
        <v>46011</v>
      </c>
      <c r="D3884" t="inlineStr">
        <is>
          <t>VÄSTRA GÖTALANDS LÄN</t>
        </is>
      </c>
      <c r="E3884" t="inlineStr">
        <is>
          <t>DALS-ED</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33898-2023</t>
        </is>
      </c>
      <c r="B3885" s="1" t="n">
        <v>45134.37270833334</v>
      </c>
      <c r="C3885" s="1" t="n">
        <v>46011</v>
      </c>
      <c r="D3885" t="inlineStr">
        <is>
          <t>VÄSTRA GÖTALANDS LÄN</t>
        </is>
      </c>
      <c r="E3885" t="inlineStr">
        <is>
          <t>MARK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6578-2024</t>
        </is>
      </c>
      <c r="B3886" s="1" t="n">
        <v>45341</v>
      </c>
      <c r="C3886" s="1" t="n">
        <v>46011</v>
      </c>
      <c r="D3886" t="inlineStr">
        <is>
          <t>VÄSTRA GÖTALANDS LÄN</t>
        </is>
      </c>
      <c r="E3886" t="inlineStr">
        <is>
          <t>TÖREBODA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24503-2025</t>
        </is>
      </c>
      <c r="B3887" s="1" t="n">
        <v>45798.39853009259</v>
      </c>
      <c r="C3887" s="1" t="n">
        <v>46011</v>
      </c>
      <c r="D3887" t="inlineStr">
        <is>
          <t>VÄSTRA GÖTALANDS LÄN</t>
        </is>
      </c>
      <c r="E3887" t="inlineStr">
        <is>
          <t>MARIESTAD</t>
        </is>
      </c>
      <c r="F3887" t="inlineStr">
        <is>
          <t>Sveaskog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24527-2025</t>
        </is>
      </c>
      <c r="B3888" s="1" t="n">
        <v>45798.42491898148</v>
      </c>
      <c r="C3888" s="1" t="n">
        <v>46011</v>
      </c>
      <c r="D3888" t="inlineStr">
        <is>
          <t>VÄSTRA GÖTALANDS LÄN</t>
        </is>
      </c>
      <c r="E3888" t="inlineStr">
        <is>
          <t>MELLERUD</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24549-2025</t>
        </is>
      </c>
      <c r="B3889" s="1" t="n">
        <v>45798.44802083333</v>
      </c>
      <c r="C3889" s="1" t="n">
        <v>46011</v>
      </c>
      <c r="D3889" t="inlineStr">
        <is>
          <t>VÄSTRA GÖTALANDS LÄN</t>
        </is>
      </c>
      <c r="E3889" t="inlineStr">
        <is>
          <t>VÄNERSBORG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24553-2025</t>
        </is>
      </c>
      <c r="B3890" s="1" t="n">
        <v>45798.44869212963</v>
      </c>
      <c r="C3890" s="1" t="n">
        <v>46011</v>
      </c>
      <c r="D3890" t="inlineStr">
        <is>
          <t>VÄSTRA GÖTALANDS LÄN</t>
        </is>
      </c>
      <c r="E3890" t="inlineStr">
        <is>
          <t>SKÖVDE</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6817-2024</t>
        </is>
      </c>
      <c r="B3891" s="1" t="n">
        <v>45342</v>
      </c>
      <c r="C3891" s="1" t="n">
        <v>46011</v>
      </c>
      <c r="D3891" t="inlineStr">
        <is>
          <t>VÄSTRA GÖTALANDS LÄN</t>
        </is>
      </c>
      <c r="E3891" t="inlineStr">
        <is>
          <t>DALS-ED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6820-2024</t>
        </is>
      </c>
      <c r="B3892" s="1" t="n">
        <v>45342.60222222222</v>
      </c>
      <c r="C3892" s="1" t="n">
        <v>46011</v>
      </c>
      <c r="D3892" t="inlineStr">
        <is>
          <t>VÄSTRA GÖTALANDS LÄN</t>
        </is>
      </c>
      <c r="E3892" t="inlineStr">
        <is>
          <t>ESSUNGA</t>
        </is>
      </c>
      <c r="G3892" t="n">
        <v>11.8</v>
      </c>
      <c r="H3892" t="n">
        <v>0</v>
      </c>
      <c r="I3892" t="n">
        <v>0</v>
      </c>
      <c r="J3892" t="n">
        <v>0</v>
      </c>
      <c r="K3892" t="n">
        <v>0</v>
      </c>
      <c r="L3892" t="n">
        <v>0</v>
      </c>
      <c r="M3892" t="n">
        <v>0</v>
      </c>
      <c r="N3892" t="n">
        <v>0</v>
      </c>
      <c r="O3892" t="n">
        <v>0</v>
      </c>
      <c r="P3892" t="n">
        <v>0</v>
      </c>
      <c r="Q3892" t="n">
        <v>0</v>
      </c>
      <c r="R3892" s="2" t="inlineStr"/>
    </row>
    <row r="3893" ht="15" customHeight="1">
      <c r="A3893" t="inlineStr">
        <is>
          <t>A 24567-2025</t>
        </is>
      </c>
      <c r="B3893" s="1" t="n">
        <v>45798.46579861111</v>
      </c>
      <c r="C3893" s="1" t="n">
        <v>46011</v>
      </c>
      <c r="D3893" t="inlineStr">
        <is>
          <t>VÄSTRA GÖTALANDS LÄN</t>
        </is>
      </c>
      <c r="E3893" t="inlineStr">
        <is>
          <t>VÄNERSBORG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24211-2025</t>
        </is>
      </c>
      <c r="B3894" s="1" t="n">
        <v>45797.34690972222</v>
      </c>
      <c r="C3894" s="1" t="n">
        <v>46011</v>
      </c>
      <c r="D3894" t="inlineStr">
        <is>
          <t>VÄSTRA GÖTALANDS LÄN</t>
        </is>
      </c>
      <c r="E3894" t="inlineStr">
        <is>
          <t>STENUNGSUND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45060-2021</t>
        </is>
      </c>
      <c r="B3895" s="1" t="n">
        <v>44439</v>
      </c>
      <c r="C3895" s="1" t="n">
        <v>46011</v>
      </c>
      <c r="D3895" t="inlineStr">
        <is>
          <t>VÄSTRA GÖTALANDS LÄN</t>
        </is>
      </c>
      <c r="E3895" t="inlineStr">
        <is>
          <t>MELLERUD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45068-2021</t>
        </is>
      </c>
      <c r="B3896" s="1" t="n">
        <v>44439.36196759259</v>
      </c>
      <c r="C3896" s="1" t="n">
        <v>46011</v>
      </c>
      <c r="D3896" t="inlineStr">
        <is>
          <t>VÄSTRA GÖTALANDS LÄN</t>
        </is>
      </c>
      <c r="E3896" t="inlineStr">
        <is>
          <t>TANUM</t>
        </is>
      </c>
      <c r="G3896" t="n">
        <v>15.2</v>
      </c>
      <c r="H3896" t="n">
        <v>0</v>
      </c>
      <c r="I3896" t="n">
        <v>0</v>
      </c>
      <c r="J3896" t="n">
        <v>0</v>
      </c>
      <c r="K3896" t="n">
        <v>0</v>
      </c>
      <c r="L3896" t="n">
        <v>0</v>
      </c>
      <c r="M3896" t="n">
        <v>0</v>
      </c>
      <c r="N3896" t="n">
        <v>0</v>
      </c>
      <c r="O3896" t="n">
        <v>0</v>
      </c>
      <c r="P3896" t="n">
        <v>0</v>
      </c>
      <c r="Q3896" t="n">
        <v>0</v>
      </c>
      <c r="R3896" s="2" t="inlineStr"/>
    </row>
    <row r="3897" ht="15" customHeight="1">
      <c r="A3897" t="inlineStr">
        <is>
          <t>A 49112-2023</t>
        </is>
      </c>
      <c r="B3897" s="1" t="n">
        <v>45210.44561342592</v>
      </c>
      <c r="C3897" s="1" t="n">
        <v>46011</v>
      </c>
      <c r="D3897" t="inlineStr">
        <is>
          <t>VÄSTRA GÖTALANDS LÄN</t>
        </is>
      </c>
      <c r="E3897" t="inlineStr">
        <is>
          <t>BORÅS</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29529-2024</t>
        </is>
      </c>
      <c r="B3898" s="1" t="n">
        <v>45484.4721875</v>
      </c>
      <c r="C3898" s="1" t="n">
        <v>46011</v>
      </c>
      <c r="D3898" t="inlineStr">
        <is>
          <t>VÄSTRA GÖTALANDS LÄN</t>
        </is>
      </c>
      <c r="E3898" t="inlineStr">
        <is>
          <t>ULRICEHAMN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35188-2024</t>
        </is>
      </c>
      <c r="B3899" s="1" t="n">
        <v>45530.45415509259</v>
      </c>
      <c r="C3899" s="1" t="n">
        <v>46011</v>
      </c>
      <c r="D3899" t="inlineStr">
        <is>
          <t>VÄSTRA GÖTALANDS LÄN</t>
        </is>
      </c>
      <c r="E3899" t="inlineStr">
        <is>
          <t>BENGTSFORS</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24533-2025</t>
        </is>
      </c>
      <c r="B3900" s="1" t="n">
        <v>45798.43085648148</v>
      </c>
      <c r="C3900" s="1" t="n">
        <v>46011</v>
      </c>
      <c r="D3900" t="inlineStr">
        <is>
          <t>VÄSTRA GÖTALANDS LÄN</t>
        </is>
      </c>
      <c r="E3900" t="inlineStr">
        <is>
          <t>MELLERUD</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29574-2024</t>
        </is>
      </c>
      <c r="B3901" s="1" t="n">
        <v>45484.56001157407</v>
      </c>
      <c r="C3901" s="1" t="n">
        <v>46011</v>
      </c>
      <c r="D3901" t="inlineStr">
        <is>
          <t>VÄSTRA GÖTALANDS LÄN</t>
        </is>
      </c>
      <c r="E3901" t="inlineStr">
        <is>
          <t>TRANEMO</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29595-2024</t>
        </is>
      </c>
      <c r="B3902" s="1" t="n">
        <v>45484.58876157407</v>
      </c>
      <c r="C3902" s="1" t="n">
        <v>46011</v>
      </c>
      <c r="D3902" t="inlineStr">
        <is>
          <t>VÄSTRA GÖTALANDS LÄN</t>
        </is>
      </c>
      <c r="E3902" t="inlineStr">
        <is>
          <t>ULRICEHAMN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24586-2025</t>
        </is>
      </c>
      <c r="B3903" s="1" t="n">
        <v>45798.52034722222</v>
      </c>
      <c r="C3903" s="1" t="n">
        <v>46011</v>
      </c>
      <c r="D3903" t="inlineStr">
        <is>
          <t>VÄSTRA GÖTALANDS LÄN</t>
        </is>
      </c>
      <c r="E3903" t="inlineStr">
        <is>
          <t>HERRLJUNGA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24242-2025</t>
        </is>
      </c>
      <c r="B3904" s="1" t="n">
        <v>45797.38863425926</v>
      </c>
      <c r="C3904" s="1" t="n">
        <v>46011</v>
      </c>
      <c r="D3904" t="inlineStr">
        <is>
          <t>VÄSTRA GÖTALANDS LÄN</t>
        </is>
      </c>
      <c r="E3904" t="inlineStr">
        <is>
          <t>LIDKÖPING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43017-2024</t>
        </is>
      </c>
      <c r="B3905" s="1" t="n">
        <v>45567.39223379629</v>
      </c>
      <c r="C3905" s="1" t="n">
        <v>46011</v>
      </c>
      <c r="D3905" t="inlineStr">
        <is>
          <t>VÄSTRA GÖTALANDS LÄN</t>
        </is>
      </c>
      <c r="E3905" t="inlineStr">
        <is>
          <t>MELLERUD</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5743-2025</t>
        </is>
      </c>
      <c r="B3906" s="1" t="n">
        <v>45694.52391203704</v>
      </c>
      <c r="C3906" s="1" t="n">
        <v>46011</v>
      </c>
      <c r="D3906" t="inlineStr">
        <is>
          <t>VÄSTRA GÖTALANDS LÄN</t>
        </is>
      </c>
      <c r="E3906" t="inlineStr">
        <is>
          <t>LILLA EDET</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23871-2024</t>
        </is>
      </c>
      <c r="B3907" s="1" t="n">
        <v>45455.61503472222</v>
      </c>
      <c r="C3907" s="1" t="n">
        <v>46011</v>
      </c>
      <c r="D3907" t="inlineStr">
        <is>
          <t>VÄSTRA GÖTALANDS LÄN</t>
        </is>
      </c>
      <c r="E3907" t="inlineStr">
        <is>
          <t>MUNKEDAL</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24186-2025</t>
        </is>
      </c>
      <c r="B3908" s="1" t="n">
        <v>45796.82644675926</v>
      </c>
      <c r="C3908" s="1" t="n">
        <v>46011</v>
      </c>
      <c r="D3908" t="inlineStr">
        <is>
          <t>VÄSTRA GÖTALANDS LÄN</t>
        </is>
      </c>
      <c r="E3908" t="inlineStr">
        <is>
          <t>SKÖVDE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24353-2025</t>
        </is>
      </c>
      <c r="B3909" s="1" t="n">
        <v>45797.58983796297</v>
      </c>
      <c r="C3909" s="1" t="n">
        <v>46011</v>
      </c>
      <c r="D3909" t="inlineStr">
        <is>
          <t>VÄSTRA GÖTALANDS LÄN</t>
        </is>
      </c>
      <c r="E3909" t="inlineStr">
        <is>
          <t>LIDKÖPING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17922-2025</t>
        </is>
      </c>
      <c r="B3910" s="1" t="n">
        <v>45758.90710648148</v>
      </c>
      <c r="C3910" s="1" t="n">
        <v>46011</v>
      </c>
      <c r="D3910" t="inlineStr">
        <is>
          <t>VÄSTRA GÖTALANDS LÄN</t>
        </is>
      </c>
      <c r="E3910" t="inlineStr">
        <is>
          <t>KUNGÄLV</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52302-2022</t>
        </is>
      </c>
      <c r="B3911" s="1" t="n">
        <v>44873</v>
      </c>
      <c r="C3911" s="1" t="n">
        <v>46011</v>
      </c>
      <c r="D3911" t="inlineStr">
        <is>
          <t>VÄSTRA GÖTALANDS LÄN</t>
        </is>
      </c>
      <c r="E3911" t="inlineStr">
        <is>
          <t>MUNKEDAL</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24383-2025</t>
        </is>
      </c>
      <c r="B3912" s="1" t="n">
        <v>45797.62940972222</v>
      </c>
      <c r="C3912" s="1" t="n">
        <v>46011</v>
      </c>
      <c r="D3912" t="inlineStr">
        <is>
          <t>VÄSTRA GÖTALANDS LÄN</t>
        </is>
      </c>
      <c r="E3912" t="inlineStr">
        <is>
          <t>SKÖVDE</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24384-2025</t>
        </is>
      </c>
      <c r="B3913" s="1" t="n">
        <v>45797.62946759259</v>
      </c>
      <c r="C3913" s="1" t="n">
        <v>46011</v>
      </c>
      <c r="D3913" t="inlineStr">
        <is>
          <t>VÄSTRA GÖTALANDS LÄN</t>
        </is>
      </c>
      <c r="E3913" t="inlineStr">
        <is>
          <t>FALKÖPING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28109-2024</t>
        </is>
      </c>
      <c r="B3914" s="1" t="n">
        <v>45476.63284722222</v>
      </c>
      <c r="C3914" s="1" t="n">
        <v>46011</v>
      </c>
      <c r="D3914" t="inlineStr">
        <is>
          <t>VÄSTRA GÖTALANDS LÄN</t>
        </is>
      </c>
      <c r="E3914" t="inlineStr">
        <is>
          <t>ORUST</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45309-2024</t>
        </is>
      </c>
      <c r="B3915" s="1" t="n">
        <v>45576.43064814815</v>
      </c>
      <c r="C3915" s="1" t="n">
        <v>46011</v>
      </c>
      <c r="D3915" t="inlineStr">
        <is>
          <t>VÄSTRA GÖTALANDS LÄN</t>
        </is>
      </c>
      <c r="E3915" t="inlineStr">
        <is>
          <t>VÅRGÅRDA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981-2025</t>
        </is>
      </c>
      <c r="B3916" s="1" t="n">
        <v>45666.41128472222</v>
      </c>
      <c r="C3916" s="1" t="n">
        <v>46011</v>
      </c>
      <c r="D3916" t="inlineStr">
        <is>
          <t>VÄSTRA GÖTALANDS LÄN</t>
        </is>
      </c>
      <c r="E3916" t="inlineStr">
        <is>
          <t>DALS-ED</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28145-2024</t>
        </is>
      </c>
      <c r="B3917" s="1" t="n">
        <v>45476.72542824074</v>
      </c>
      <c r="C3917" s="1" t="n">
        <v>46011</v>
      </c>
      <c r="D3917" t="inlineStr">
        <is>
          <t>VÄSTRA GÖTALANDS LÄN</t>
        </is>
      </c>
      <c r="E3917" t="inlineStr">
        <is>
          <t>HERRLJUNGA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24495-2025</t>
        </is>
      </c>
      <c r="B3918" s="1" t="n">
        <v>45798.39030092592</v>
      </c>
      <c r="C3918" s="1" t="n">
        <v>46011</v>
      </c>
      <c r="D3918" t="inlineStr">
        <is>
          <t>VÄSTRA GÖTALANDS LÄN</t>
        </is>
      </c>
      <c r="E3918" t="inlineStr">
        <is>
          <t>MARIESTAD</t>
        </is>
      </c>
      <c r="F3918" t="inlineStr">
        <is>
          <t>Sveaskog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24510-2025</t>
        </is>
      </c>
      <c r="B3919" s="1" t="n">
        <v>45798.40402777777</v>
      </c>
      <c r="C3919" s="1" t="n">
        <v>46011</v>
      </c>
      <c r="D3919" t="inlineStr">
        <is>
          <t>VÄSTRA GÖTALANDS LÄN</t>
        </is>
      </c>
      <c r="E3919" t="inlineStr">
        <is>
          <t>MARIESTAD</t>
        </is>
      </c>
      <c r="F3919" t="inlineStr">
        <is>
          <t>Sveaskog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24459-2025</t>
        </is>
      </c>
      <c r="B3920" s="1" t="n">
        <v>45798.3478587963</v>
      </c>
      <c r="C3920" s="1" t="n">
        <v>46011</v>
      </c>
      <c r="D3920" t="inlineStr">
        <is>
          <t>VÄSTRA GÖTALANDS LÄN</t>
        </is>
      </c>
      <c r="E3920" t="inlineStr">
        <is>
          <t>DALS-ED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68285-2021</t>
        </is>
      </c>
      <c r="B3921" s="1" t="n">
        <v>44526.68493055556</v>
      </c>
      <c r="C3921" s="1" t="n">
        <v>46011</v>
      </c>
      <c r="D3921" t="inlineStr">
        <is>
          <t>VÄSTRA GÖTALANDS LÄN</t>
        </is>
      </c>
      <c r="E3921" t="inlineStr">
        <is>
          <t>FÄRGELANDA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36949-2024</t>
        </is>
      </c>
      <c r="B3922" s="1" t="n">
        <v>45538.70457175926</v>
      </c>
      <c r="C3922" s="1" t="n">
        <v>46011</v>
      </c>
      <c r="D3922" t="inlineStr">
        <is>
          <t>VÄSTRA GÖTALANDS LÄN</t>
        </is>
      </c>
      <c r="E3922" t="inlineStr">
        <is>
          <t>TANUM</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24631-2025</t>
        </is>
      </c>
      <c r="B3923" s="1" t="n">
        <v>45798.6024537037</v>
      </c>
      <c r="C3923" s="1" t="n">
        <v>46011</v>
      </c>
      <c r="D3923" t="inlineStr">
        <is>
          <t>VÄSTRA GÖTALANDS LÄN</t>
        </is>
      </c>
      <c r="E3923" t="inlineStr">
        <is>
          <t>BORÅS</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24275-2025</t>
        </is>
      </c>
      <c r="B3924" s="1" t="n">
        <v>45797.44449074074</v>
      </c>
      <c r="C3924" s="1" t="n">
        <v>46011</v>
      </c>
      <c r="D3924" t="inlineStr">
        <is>
          <t>VÄSTRA GÖTALANDS LÄN</t>
        </is>
      </c>
      <c r="E3924" t="inlineStr">
        <is>
          <t>TRANEMO</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36982-2024</t>
        </is>
      </c>
      <c r="B3925" s="1" t="n">
        <v>45539.31283564815</v>
      </c>
      <c r="C3925" s="1" t="n">
        <v>46011</v>
      </c>
      <c r="D3925" t="inlineStr">
        <is>
          <t>VÄSTRA GÖTALANDS LÄN</t>
        </is>
      </c>
      <c r="E3925" t="inlineStr">
        <is>
          <t>TROLLHÄTTAN</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24347-2025</t>
        </is>
      </c>
      <c r="B3926" s="1" t="n">
        <v>45797.58068287037</v>
      </c>
      <c r="C3926" s="1" t="n">
        <v>46011</v>
      </c>
      <c r="D3926" t="inlineStr">
        <is>
          <t>VÄSTRA GÖTALANDS LÄN</t>
        </is>
      </c>
      <c r="E3926" t="inlineStr">
        <is>
          <t>ULRICEHAMN</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25103-2025</t>
        </is>
      </c>
      <c r="B3927" s="1" t="n">
        <v>45798</v>
      </c>
      <c r="C3927" s="1" t="n">
        <v>46011</v>
      </c>
      <c r="D3927" t="inlineStr">
        <is>
          <t>VÄSTRA GÖTALANDS LÄN</t>
        </is>
      </c>
      <c r="E3927" t="inlineStr">
        <is>
          <t>BORÅS</t>
        </is>
      </c>
      <c r="F3927" t="inlineStr">
        <is>
          <t>Kommuner</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24380-2025</t>
        </is>
      </c>
      <c r="B3928" s="1" t="n">
        <v>45797.62638888889</v>
      </c>
      <c r="C3928" s="1" t="n">
        <v>46011</v>
      </c>
      <c r="D3928" t="inlineStr">
        <is>
          <t>VÄSTRA GÖTALANDS LÄN</t>
        </is>
      </c>
      <c r="E3928" t="inlineStr">
        <is>
          <t>FALKÖPING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2092-2022</t>
        </is>
      </c>
      <c r="B3929" s="1" t="n">
        <v>44577.44398148148</v>
      </c>
      <c r="C3929" s="1" t="n">
        <v>46011</v>
      </c>
      <c r="D3929" t="inlineStr">
        <is>
          <t>VÄSTRA GÖTALANDS LÄN</t>
        </is>
      </c>
      <c r="E3929" t="inlineStr">
        <is>
          <t>BORÅS</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40175-2023</t>
        </is>
      </c>
      <c r="B3930" s="1" t="n">
        <v>45169</v>
      </c>
      <c r="C3930" s="1" t="n">
        <v>46011</v>
      </c>
      <c r="D3930" t="inlineStr">
        <is>
          <t>VÄSTRA GÖTALANDS LÄN</t>
        </is>
      </c>
      <c r="E3930" t="inlineStr">
        <is>
          <t>TRANEMO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8574-2024</t>
        </is>
      </c>
      <c r="B3931" s="1" t="n">
        <v>45355</v>
      </c>
      <c r="C3931" s="1" t="n">
        <v>46011</v>
      </c>
      <c r="D3931" t="inlineStr">
        <is>
          <t>VÄSTRA GÖTALANDS LÄN</t>
        </is>
      </c>
      <c r="E3931" t="inlineStr">
        <is>
          <t>FÄRGELANDA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4661-2024</t>
        </is>
      </c>
      <c r="B3932" s="1" t="n">
        <v>45328.46517361111</v>
      </c>
      <c r="C3932" s="1" t="n">
        <v>46011</v>
      </c>
      <c r="D3932" t="inlineStr">
        <is>
          <t>VÄSTRA GÖTALANDS LÄN</t>
        </is>
      </c>
      <c r="E3932" t="inlineStr">
        <is>
          <t>DALS-ED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60026-2023</t>
        </is>
      </c>
      <c r="B3933" s="1" t="n">
        <v>45258.31431712963</v>
      </c>
      <c r="C3933" s="1" t="n">
        <v>46011</v>
      </c>
      <c r="D3933" t="inlineStr">
        <is>
          <t>VÄSTRA GÖTALANDS LÄN</t>
        </is>
      </c>
      <c r="E3933" t="inlineStr">
        <is>
          <t>ALINGSÅS</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51927-2024</t>
        </is>
      </c>
      <c r="B3934" s="1" t="n">
        <v>45607.62167824074</v>
      </c>
      <c r="C3934" s="1" t="n">
        <v>46011</v>
      </c>
      <c r="D3934" t="inlineStr">
        <is>
          <t>VÄSTRA GÖTALANDS LÄN</t>
        </is>
      </c>
      <c r="E3934" t="inlineStr">
        <is>
          <t>ALINGSÅS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961-2023</t>
        </is>
      </c>
      <c r="B3935" s="1" t="n">
        <v>44934</v>
      </c>
      <c r="C3935" s="1" t="n">
        <v>46011</v>
      </c>
      <c r="D3935" t="inlineStr">
        <is>
          <t>VÄSTRA GÖTALANDS LÄN</t>
        </is>
      </c>
      <c r="E3935" t="inlineStr">
        <is>
          <t>VARA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43356-2024</t>
        </is>
      </c>
      <c r="B3936" s="1" t="n">
        <v>45568.57061342592</v>
      </c>
      <c r="C3936" s="1" t="n">
        <v>46011</v>
      </c>
      <c r="D3936" t="inlineStr">
        <is>
          <t>VÄSTRA GÖTALANDS LÄN</t>
        </is>
      </c>
      <c r="E3936" t="inlineStr">
        <is>
          <t>BENGTSFORS</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40842-2023</t>
        </is>
      </c>
      <c r="B3937" s="1" t="n">
        <v>45172</v>
      </c>
      <c r="C3937" s="1" t="n">
        <v>46011</v>
      </c>
      <c r="D3937" t="inlineStr">
        <is>
          <t>VÄSTRA GÖTALANDS LÄN</t>
        </is>
      </c>
      <c r="E3937" t="inlineStr">
        <is>
          <t>HERRLJUNGA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64977-2021</t>
        </is>
      </c>
      <c r="B3938" s="1" t="n">
        <v>44513</v>
      </c>
      <c r="C3938" s="1" t="n">
        <v>46011</v>
      </c>
      <c r="D3938" t="inlineStr">
        <is>
          <t>VÄSTRA GÖTALANDS LÄN</t>
        </is>
      </c>
      <c r="E3938" t="inlineStr">
        <is>
          <t>BENGTSFORS</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3957-2025</t>
        </is>
      </c>
      <c r="B3939" s="1" t="n">
        <v>45684.49913194445</v>
      </c>
      <c r="C3939" s="1" t="n">
        <v>46011</v>
      </c>
      <c r="D3939" t="inlineStr">
        <is>
          <t>VÄSTRA GÖTALANDS LÄN</t>
        </is>
      </c>
      <c r="E3939" t="inlineStr">
        <is>
          <t>BENGTSFORS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11837-2025</t>
        </is>
      </c>
      <c r="B3940" s="1" t="n">
        <v>45728.36346064815</v>
      </c>
      <c r="C3940" s="1" t="n">
        <v>46011</v>
      </c>
      <c r="D3940" t="inlineStr">
        <is>
          <t>VÄSTRA GÖTALANDS LÄN</t>
        </is>
      </c>
      <c r="E3940" t="inlineStr">
        <is>
          <t>TROLLHÄTTAN</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7819-2025</t>
        </is>
      </c>
      <c r="B3941" s="1" t="n">
        <v>45706.63945601852</v>
      </c>
      <c r="C3941" s="1" t="n">
        <v>46011</v>
      </c>
      <c r="D3941" t="inlineStr">
        <is>
          <t>VÄSTRA GÖTALANDS LÄN</t>
        </is>
      </c>
      <c r="E3941" t="inlineStr">
        <is>
          <t>LILLA EDET</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53554-2024</t>
        </is>
      </c>
      <c r="B3942" s="1" t="n">
        <v>45614.64645833334</v>
      </c>
      <c r="C3942" s="1" t="n">
        <v>46011</v>
      </c>
      <c r="D3942" t="inlineStr">
        <is>
          <t>VÄSTRA GÖTALANDS LÄN</t>
        </is>
      </c>
      <c r="E3942" t="inlineStr">
        <is>
          <t>HERRLJUNGA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53559-2024</t>
        </is>
      </c>
      <c r="B3943" s="1" t="n">
        <v>45614.65366898148</v>
      </c>
      <c r="C3943" s="1" t="n">
        <v>46011</v>
      </c>
      <c r="D3943" t="inlineStr">
        <is>
          <t>VÄSTRA GÖTALANDS LÄN</t>
        </is>
      </c>
      <c r="E3943" t="inlineStr">
        <is>
          <t>HERRLJUNGA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42396-2024</t>
        </is>
      </c>
      <c r="B3944" s="1" t="n">
        <v>45565.32887731482</v>
      </c>
      <c r="C3944" s="1" t="n">
        <v>46011</v>
      </c>
      <c r="D3944" t="inlineStr">
        <is>
          <t>VÄSTRA GÖTALANDS LÄN</t>
        </is>
      </c>
      <c r="E3944" t="inlineStr">
        <is>
          <t>BENGTSFORS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55777-2023</t>
        </is>
      </c>
      <c r="B3945" s="1" t="n">
        <v>45239.49313657408</v>
      </c>
      <c r="C3945" s="1" t="n">
        <v>46011</v>
      </c>
      <c r="D3945" t="inlineStr">
        <is>
          <t>VÄSTRA GÖTALANDS LÄN</t>
        </is>
      </c>
      <c r="E3945" t="inlineStr">
        <is>
          <t>MARIESTAD</t>
        </is>
      </c>
      <c r="F3945" t="inlineStr">
        <is>
          <t>Sveaskog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55788-2023</t>
        </is>
      </c>
      <c r="B3946" s="1" t="n">
        <v>45239</v>
      </c>
      <c r="C3946" s="1" t="n">
        <v>46011</v>
      </c>
      <c r="D3946" t="inlineStr">
        <is>
          <t>VÄSTRA GÖTALANDS LÄN</t>
        </is>
      </c>
      <c r="E3946" t="inlineStr">
        <is>
          <t>TIBRO</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29808-2024</t>
        </is>
      </c>
      <c r="B3947" s="1" t="n">
        <v>45485.53696759259</v>
      </c>
      <c r="C3947" s="1" t="n">
        <v>46011</v>
      </c>
      <c r="D3947" t="inlineStr">
        <is>
          <t>VÄSTRA GÖTALANDS LÄN</t>
        </is>
      </c>
      <c r="E3947" t="inlineStr">
        <is>
          <t>SVENLJUNGA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45608-2022</t>
        </is>
      </c>
      <c r="B3948" s="1" t="n">
        <v>44845.58590277778</v>
      </c>
      <c r="C3948" s="1" t="n">
        <v>46011</v>
      </c>
      <c r="D3948" t="inlineStr">
        <is>
          <t>VÄSTRA GÖTALANDS LÄN</t>
        </is>
      </c>
      <c r="E3948" t="inlineStr">
        <is>
          <t>LIDKÖPING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19849-2025</t>
        </is>
      </c>
      <c r="B3949" s="1" t="n">
        <v>45771.49246527778</v>
      </c>
      <c r="C3949" s="1" t="n">
        <v>46011</v>
      </c>
      <c r="D3949" t="inlineStr">
        <is>
          <t>VÄSTRA GÖTALANDS LÄN</t>
        </is>
      </c>
      <c r="E3949" t="inlineStr">
        <is>
          <t>UDDEVALLA</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1738-2025</t>
        </is>
      </c>
      <c r="B3950" s="1" t="n">
        <v>45671.39305555556</v>
      </c>
      <c r="C3950" s="1" t="n">
        <v>46011</v>
      </c>
      <c r="D3950" t="inlineStr">
        <is>
          <t>VÄSTRA GÖTALANDS LÄN</t>
        </is>
      </c>
      <c r="E3950" t="inlineStr">
        <is>
          <t>DALS-ED</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38548-2025</t>
        </is>
      </c>
      <c r="B3951" s="1" t="n">
        <v>45883</v>
      </c>
      <c r="C3951" s="1" t="n">
        <v>46011</v>
      </c>
      <c r="D3951" t="inlineStr">
        <is>
          <t>VÄSTRA GÖTALANDS LÄN</t>
        </is>
      </c>
      <c r="E3951" t="inlineStr">
        <is>
          <t>SKARA</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38553-2025</t>
        </is>
      </c>
      <c r="B3952" s="1" t="n">
        <v>45884.44027777778</v>
      </c>
      <c r="C3952" s="1" t="n">
        <v>46011</v>
      </c>
      <c r="D3952" t="inlineStr">
        <is>
          <t>VÄSTRA GÖTALANDS LÄN</t>
        </is>
      </c>
      <c r="E3952" t="inlineStr">
        <is>
          <t>MARK</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24348-2025</t>
        </is>
      </c>
      <c r="B3953" s="1" t="n">
        <v>45797</v>
      </c>
      <c r="C3953" s="1" t="n">
        <v>46011</v>
      </c>
      <c r="D3953" t="inlineStr">
        <is>
          <t>VÄSTRA GÖTALANDS LÄN</t>
        </is>
      </c>
      <c r="E3953" t="inlineStr">
        <is>
          <t>STRÖMSTAD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5951-2025</t>
        </is>
      </c>
      <c r="B3954" s="1" t="n">
        <v>45695</v>
      </c>
      <c r="C3954" s="1" t="n">
        <v>46011</v>
      </c>
      <c r="D3954" t="inlineStr">
        <is>
          <t>VÄSTRA GÖTALANDS LÄN</t>
        </is>
      </c>
      <c r="E3954" t="inlineStr">
        <is>
          <t>GULLSPÅNG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61542-2023</t>
        </is>
      </c>
      <c r="B3955" s="1" t="n">
        <v>45265</v>
      </c>
      <c r="C3955" s="1" t="n">
        <v>46011</v>
      </c>
      <c r="D3955" t="inlineStr">
        <is>
          <t>VÄSTRA GÖTALANDS LÄN</t>
        </is>
      </c>
      <c r="E3955" t="inlineStr">
        <is>
          <t>KARLSBORG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38412-2024</t>
        </is>
      </c>
      <c r="B3956" s="1" t="n">
        <v>45546.34902777777</v>
      </c>
      <c r="C3956" s="1" t="n">
        <v>46011</v>
      </c>
      <c r="D3956" t="inlineStr">
        <is>
          <t>VÄSTRA GÖTALANDS LÄN</t>
        </is>
      </c>
      <c r="E3956" t="inlineStr">
        <is>
          <t>DALS-ED</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38421-2024</t>
        </is>
      </c>
      <c r="B3957" s="1" t="n">
        <v>45546.36957175926</v>
      </c>
      <c r="C3957" s="1" t="n">
        <v>46011</v>
      </c>
      <c r="D3957" t="inlineStr">
        <is>
          <t>VÄSTRA GÖTALANDS LÄN</t>
        </is>
      </c>
      <c r="E3957" t="inlineStr">
        <is>
          <t>BORÅS</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12774-2024</t>
        </is>
      </c>
      <c r="B3958" s="1" t="n">
        <v>45384.59219907408</v>
      </c>
      <c r="C3958" s="1" t="n">
        <v>46011</v>
      </c>
      <c r="D3958" t="inlineStr">
        <is>
          <t>VÄSTRA GÖTALANDS LÄN</t>
        </is>
      </c>
      <c r="E3958" t="inlineStr">
        <is>
          <t>FALKÖPING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51411-2022</t>
        </is>
      </c>
      <c r="B3959" s="1" t="n">
        <v>44866</v>
      </c>
      <c r="C3959" s="1" t="n">
        <v>46011</v>
      </c>
      <c r="D3959" t="inlineStr">
        <is>
          <t>VÄSTRA GÖTALANDS LÄN</t>
        </is>
      </c>
      <c r="E3959" t="inlineStr">
        <is>
          <t>MUNKEDAL</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5658-2024</t>
        </is>
      </c>
      <c r="B3960" s="1" t="n">
        <v>45334</v>
      </c>
      <c r="C3960" s="1" t="n">
        <v>46011</v>
      </c>
      <c r="D3960" t="inlineStr">
        <is>
          <t>VÄSTRA GÖTALANDS LÄN</t>
        </is>
      </c>
      <c r="E3960" t="inlineStr">
        <is>
          <t>SKÖVDE</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65619-2021</t>
        </is>
      </c>
      <c r="B3961" s="1" t="n">
        <v>44516.53974537037</v>
      </c>
      <c r="C3961" s="1" t="n">
        <v>46011</v>
      </c>
      <c r="D3961" t="inlineStr">
        <is>
          <t>VÄSTRA GÖTALANDS LÄN</t>
        </is>
      </c>
      <c r="E3961" t="inlineStr">
        <is>
          <t>LILLA EDET</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44482-2023</t>
        </is>
      </c>
      <c r="B3962" s="1" t="n">
        <v>45189</v>
      </c>
      <c r="C3962" s="1" t="n">
        <v>46011</v>
      </c>
      <c r="D3962" t="inlineStr">
        <is>
          <t>VÄSTRA GÖTALANDS LÄN</t>
        </is>
      </c>
      <c r="E3962" t="inlineStr">
        <is>
          <t>MUNKEDAL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51909-2024</t>
        </is>
      </c>
      <c r="B3963" s="1" t="n">
        <v>45607.5986574074</v>
      </c>
      <c r="C3963" s="1" t="n">
        <v>46011</v>
      </c>
      <c r="D3963" t="inlineStr">
        <is>
          <t>VÄSTRA GÖTALANDS LÄN</t>
        </is>
      </c>
      <c r="E3963" t="inlineStr">
        <is>
          <t>ALINGSÅS</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50864-2022</t>
        </is>
      </c>
      <c r="B3964" s="1" t="n">
        <v>44867.56143518518</v>
      </c>
      <c r="C3964" s="1" t="n">
        <v>46011</v>
      </c>
      <c r="D3964" t="inlineStr">
        <is>
          <t>VÄSTRA GÖTALANDS LÄN</t>
        </is>
      </c>
      <c r="E3964" t="inlineStr">
        <is>
          <t>SOTENÄS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29642-2024</t>
        </is>
      </c>
      <c r="B3965" s="1" t="n">
        <v>45484</v>
      </c>
      <c r="C3965" s="1" t="n">
        <v>46011</v>
      </c>
      <c r="D3965" t="inlineStr">
        <is>
          <t>VÄSTRA GÖTALANDS LÄN</t>
        </is>
      </c>
      <c r="E3965" t="inlineStr">
        <is>
          <t>UDDEVALLA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24234-2025</t>
        </is>
      </c>
      <c r="B3966" s="1" t="n">
        <v>45797.3800462963</v>
      </c>
      <c r="C3966" s="1" t="n">
        <v>46011</v>
      </c>
      <c r="D3966" t="inlineStr">
        <is>
          <t>VÄSTRA GÖTALANDS LÄN</t>
        </is>
      </c>
      <c r="E3966" t="inlineStr">
        <is>
          <t>LIDKÖPING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24301-2025</t>
        </is>
      </c>
      <c r="B3967" s="1" t="n">
        <v>45797.4844212963</v>
      </c>
      <c r="C3967" s="1" t="n">
        <v>46011</v>
      </c>
      <c r="D3967" t="inlineStr">
        <is>
          <t>VÄSTRA GÖTALANDS LÄN</t>
        </is>
      </c>
      <c r="E3967" t="inlineStr">
        <is>
          <t>ULRICEHAMN</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24665-2025</t>
        </is>
      </c>
      <c r="B3968" s="1" t="n">
        <v>45798.64635416667</v>
      </c>
      <c r="C3968" s="1" t="n">
        <v>46011</v>
      </c>
      <c r="D3968" t="inlineStr">
        <is>
          <t>VÄSTRA GÖTALANDS LÄN</t>
        </is>
      </c>
      <c r="E3968" t="inlineStr">
        <is>
          <t>FALKÖPING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24542-2025</t>
        </is>
      </c>
      <c r="B3969" s="1" t="n">
        <v>45798.44365740741</v>
      </c>
      <c r="C3969" s="1" t="n">
        <v>46011</v>
      </c>
      <c r="D3969" t="inlineStr">
        <is>
          <t>VÄSTRA GÖTALANDS LÄN</t>
        </is>
      </c>
      <c r="E3969" t="inlineStr">
        <is>
          <t>HÄRRYDA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29718-2024</t>
        </is>
      </c>
      <c r="B3970" s="1" t="n">
        <v>45485.36313657407</v>
      </c>
      <c r="C3970" s="1" t="n">
        <v>46011</v>
      </c>
      <c r="D3970" t="inlineStr">
        <is>
          <t>VÄSTRA GÖTALANDS LÄN</t>
        </is>
      </c>
      <c r="E3970" t="inlineStr">
        <is>
          <t>FALKÖPING</t>
        </is>
      </c>
      <c r="F3970" t="inlineStr">
        <is>
          <t>Sveaskog</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24388-2025</t>
        </is>
      </c>
      <c r="B3971" s="1" t="n">
        <v>45797.63533564815</v>
      </c>
      <c r="C3971" s="1" t="n">
        <v>46011</v>
      </c>
      <c r="D3971" t="inlineStr">
        <is>
          <t>VÄSTRA GÖTALANDS LÄN</t>
        </is>
      </c>
      <c r="E3971" t="inlineStr">
        <is>
          <t>HJO</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4027-2023</t>
        </is>
      </c>
      <c r="B3972" s="1" t="n">
        <v>44952.56377314815</v>
      </c>
      <c r="C3972" s="1" t="n">
        <v>46011</v>
      </c>
      <c r="D3972" t="inlineStr">
        <is>
          <t>VÄSTRA GÖTALANDS LÄN</t>
        </is>
      </c>
      <c r="E3972" t="inlineStr">
        <is>
          <t>MARK</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59075-2024</t>
        </is>
      </c>
      <c r="B3973" s="1" t="n">
        <v>45637.24947916667</v>
      </c>
      <c r="C3973" s="1" t="n">
        <v>46011</v>
      </c>
      <c r="D3973" t="inlineStr">
        <is>
          <t>VÄSTRA GÖTALANDS LÄN</t>
        </is>
      </c>
      <c r="E3973" t="inlineStr">
        <is>
          <t>FALKÖPING</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16744-2023</t>
        </is>
      </c>
      <c r="B3974" s="1" t="n">
        <v>45030</v>
      </c>
      <c r="C3974" s="1" t="n">
        <v>46011</v>
      </c>
      <c r="D3974" t="inlineStr">
        <is>
          <t>VÄSTRA GÖTALANDS LÄN</t>
        </is>
      </c>
      <c r="E3974" t="inlineStr">
        <is>
          <t>MELLERUD</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38372-2025</t>
        </is>
      </c>
      <c r="B3975" s="1" t="n">
        <v>45883.56460648148</v>
      </c>
      <c r="C3975" s="1" t="n">
        <v>46011</v>
      </c>
      <c r="D3975" t="inlineStr">
        <is>
          <t>VÄSTRA GÖTALANDS LÄN</t>
        </is>
      </c>
      <c r="E3975" t="inlineStr">
        <is>
          <t>DALS-ED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57098-2022</t>
        </is>
      </c>
      <c r="B3976" s="1" t="n">
        <v>44895.48936342593</v>
      </c>
      <c r="C3976" s="1" t="n">
        <v>46011</v>
      </c>
      <c r="D3976" t="inlineStr">
        <is>
          <t>VÄSTRA GÖTALANDS LÄN</t>
        </is>
      </c>
      <c r="E3976" t="inlineStr">
        <is>
          <t>ULRICEHAMN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57105-2022</t>
        </is>
      </c>
      <c r="B3977" s="1" t="n">
        <v>44895.50105324074</v>
      </c>
      <c r="C3977" s="1" t="n">
        <v>46011</v>
      </c>
      <c r="D3977" t="inlineStr">
        <is>
          <t>VÄSTRA GÖTALANDS LÄN</t>
        </is>
      </c>
      <c r="E3977" t="inlineStr">
        <is>
          <t>DALS-ED</t>
        </is>
      </c>
      <c r="G3977" t="n">
        <v>11.4</v>
      </c>
      <c r="H3977" t="n">
        <v>0</v>
      </c>
      <c r="I3977" t="n">
        <v>0</v>
      </c>
      <c r="J3977" t="n">
        <v>0</v>
      </c>
      <c r="K3977" t="n">
        <v>0</v>
      </c>
      <c r="L3977" t="n">
        <v>0</v>
      </c>
      <c r="M3977" t="n">
        <v>0</v>
      </c>
      <c r="N3977" t="n">
        <v>0</v>
      </c>
      <c r="O3977" t="n">
        <v>0</v>
      </c>
      <c r="P3977" t="n">
        <v>0</v>
      </c>
      <c r="Q3977" t="n">
        <v>0</v>
      </c>
      <c r="R3977" s="2" t="inlineStr"/>
    </row>
    <row r="3978" ht="15" customHeight="1">
      <c r="A3978" t="inlineStr">
        <is>
          <t>A 24548-2025</t>
        </is>
      </c>
      <c r="B3978" s="1" t="n">
        <v>45798.44768518519</v>
      </c>
      <c r="C3978" s="1" t="n">
        <v>46011</v>
      </c>
      <c r="D3978" t="inlineStr">
        <is>
          <t>VÄSTRA GÖTALANDS LÄN</t>
        </is>
      </c>
      <c r="E3978" t="inlineStr">
        <is>
          <t>FÄRGELANDA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24560-2025</t>
        </is>
      </c>
      <c r="B3979" s="1" t="n">
        <v>45798.45908564814</v>
      </c>
      <c r="C3979" s="1" t="n">
        <v>46011</v>
      </c>
      <c r="D3979" t="inlineStr">
        <is>
          <t>VÄSTRA GÖTALANDS LÄN</t>
        </is>
      </c>
      <c r="E3979" t="inlineStr">
        <is>
          <t>VÄNERSBORG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5714-2024</t>
        </is>
      </c>
      <c r="B3980" s="1" t="n">
        <v>45334.87804398148</v>
      </c>
      <c r="C3980" s="1" t="n">
        <v>46011</v>
      </c>
      <c r="D3980" t="inlineStr">
        <is>
          <t>VÄSTRA GÖTALANDS LÄN</t>
        </is>
      </c>
      <c r="E3980" t="inlineStr">
        <is>
          <t>ORUST</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35091-2024</t>
        </is>
      </c>
      <c r="B3981" s="1" t="n">
        <v>45527.79959490741</v>
      </c>
      <c r="C3981" s="1" t="n">
        <v>46011</v>
      </c>
      <c r="D3981" t="inlineStr">
        <is>
          <t>VÄSTRA GÖTALANDS LÄN</t>
        </is>
      </c>
      <c r="E3981" t="inlineStr">
        <is>
          <t>GRÄSTORP</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40864-2021</t>
        </is>
      </c>
      <c r="B3982" s="1" t="n">
        <v>44421</v>
      </c>
      <c r="C3982" s="1" t="n">
        <v>46011</v>
      </c>
      <c r="D3982" t="inlineStr">
        <is>
          <t>VÄSTRA GÖTALANDS LÄN</t>
        </is>
      </c>
      <c r="E3982" t="inlineStr">
        <is>
          <t>TROLLHÄTTAN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3237-2023</t>
        </is>
      </c>
      <c r="B3983" s="1" t="n">
        <v>44946.84690972222</v>
      </c>
      <c r="C3983" s="1" t="n">
        <v>46011</v>
      </c>
      <c r="D3983" t="inlineStr">
        <is>
          <t>VÄSTRA GÖTALANDS LÄN</t>
        </is>
      </c>
      <c r="E3983" t="inlineStr">
        <is>
          <t>BOLLEBYGD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2070-2023</t>
        </is>
      </c>
      <c r="B3984" s="1" t="n">
        <v>44939</v>
      </c>
      <c r="C3984" s="1" t="n">
        <v>46011</v>
      </c>
      <c r="D3984" t="inlineStr">
        <is>
          <t>VÄSTRA GÖTALANDS LÄN</t>
        </is>
      </c>
      <c r="E3984" t="inlineStr">
        <is>
          <t>HJO</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9979-2024</t>
        </is>
      </c>
      <c r="B3985" s="1" t="n">
        <v>45363.7016087963</v>
      </c>
      <c r="C3985" s="1" t="n">
        <v>46011</v>
      </c>
      <c r="D3985" t="inlineStr">
        <is>
          <t>VÄSTRA GÖTALANDS LÄN</t>
        </is>
      </c>
      <c r="E3985" t="inlineStr">
        <is>
          <t>BENGTSFORS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31605-2024</t>
        </is>
      </c>
      <c r="B3986" s="1" t="n">
        <v>45506.42094907408</v>
      </c>
      <c r="C3986" s="1" t="n">
        <v>46011</v>
      </c>
      <c r="D3986" t="inlineStr">
        <is>
          <t>VÄSTRA GÖTALANDS LÄN</t>
        </is>
      </c>
      <c r="E3986" t="inlineStr">
        <is>
          <t>LIDKÖPING</t>
        </is>
      </c>
      <c r="F3986" t="inlineStr">
        <is>
          <t>Kommuner</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58797-2022</t>
        </is>
      </c>
      <c r="B3987" s="1" t="n">
        <v>44903.42677083334</v>
      </c>
      <c r="C3987" s="1" t="n">
        <v>46011</v>
      </c>
      <c r="D3987" t="inlineStr">
        <is>
          <t>VÄSTRA GÖTALANDS LÄN</t>
        </is>
      </c>
      <c r="E3987" t="inlineStr">
        <is>
          <t>BENGTSFORS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32026-2024</t>
        </is>
      </c>
      <c r="B3988" s="1" t="n">
        <v>45510.65791666666</v>
      </c>
      <c r="C3988" s="1" t="n">
        <v>46011</v>
      </c>
      <c r="D3988" t="inlineStr">
        <is>
          <t>VÄSTRA GÖTALANDS LÄN</t>
        </is>
      </c>
      <c r="E3988" t="inlineStr">
        <is>
          <t>ALINGSÅS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49554-2024</t>
        </is>
      </c>
      <c r="B3989" s="1" t="n">
        <v>45596.4672337963</v>
      </c>
      <c r="C3989" s="1" t="n">
        <v>46011</v>
      </c>
      <c r="D3989" t="inlineStr">
        <is>
          <t>VÄSTRA GÖTALANDS LÄN</t>
        </is>
      </c>
      <c r="E3989" t="inlineStr">
        <is>
          <t>STRÖMSTAD</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24520-2025</t>
        </is>
      </c>
      <c r="B3990" s="1" t="n">
        <v>45798.41679398148</v>
      </c>
      <c r="C3990" s="1" t="n">
        <v>46011</v>
      </c>
      <c r="D3990" t="inlineStr">
        <is>
          <t>VÄSTRA GÖTALANDS LÄN</t>
        </is>
      </c>
      <c r="E3990" t="inlineStr">
        <is>
          <t>BENGTSFORS</t>
        </is>
      </c>
      <c r="F3990" t="inlineStr">
        <is>
          <t>Kyrkan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35690-2024</t>
        </is>
      </c>
      <c r="B3991" s="1" t="n">
        <v>45532.43239583333</v>
      </c>
      <c r="C3991" s="1" t="n">
        <v>46011</v>
      </c>
      <c r="D3991" t="inlineStr">
        <is>
          <t>VÄSTRA GÖTALANDS LÄN</t>
        </is>
      </c>
      <c r="E3991" t="inlineStr">
        <is>
          <t>BENGTSFORS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28714-2024</t>
        </is>
      </c>
      <c r="B3992" s="1" t="n">
        <v>45478.53525462963</v>
      </c>
      <c r="C3992" s="1" t="n">
        <v>46011</v>
      </c>
      <c r="D3992" t="inlineStr">
        <is>
          <t>VÄSTRA GÖTALANDS LÄN</t>
        </is>
      </c>
      <c r="E3992" t="inlineStr">
        <is>
          <t>DALS-ED</t>
        </is>
      </c>
      <c r="F3992" t="inlineStr">
        <is>
          <t>Kyrkan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1780-2023</t>
        </is>
      </c>
      <c r="B3993" s="1" t="n">
        <v>44938.598125</v>
      </c>
      <c r="C3993" s="1" t="n">
        <v>46011</v>
      </c>
      <c r="D3993" t="inlineStr">
        <is>
          <t>VÄSTRA GÖTALANDS LÄN</t>
        </is>
      </c>
      <c r="E3993" t="inlineStr">
        <is>
          <t>SKÖVDE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24274-2025</t>
        </is>
      </c>
      <c r="B3994" s="1" t="n">
        <v>45797.44193287037</v>
      </c>
      <c r="C3994" s="1" t="n">
        <v>46011</v>
      </c>
      <c r="D3994" t="inlineStr">
        <is>
          <t>VÄSTRA GÖTALANDS LÄN</t>
        </is>
      </c>
      <c r="E3994" t="inlineStr">
        <is>
          <t>GULLSPÅNG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24278-2025</t>
        </is>
      </c>
      <c r="B3995" s="1" t="n">
        <v>45797.4537037037</v>
      </c>
      <c r="C3995" s="1" t="n">
        <v>46011</v>
      </c>
      <c r="D3995" t="inlineStr">
        <is>
          <t>VÄSTRA GÖTALANDS LÄN</t>
        </is>
      </c>
      <c r="E3995" t="inlineStr">
        <is>
          <t>FALKÖPING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24306-2025</t>
        </is>
      </c>
      <c r="B3996" s="1" t="n">
        <v>45797.49297453704</v>
      </c>
      <c r="C3996" s="1" t="n">
        <v>46011</v>
      </c>
      <c r="D3996" t="inlineStr">
        <is>
          <t>VÄSTRA GÖTALANDS LÄN</t>
        </is>
      </c>
      <c r="E3996" t="inlineStr">
        <is>
          <t>ULRICEHAMN</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5585-2024</t>
        </is>
      </c>
      <c r="B3997" s="1" t="n">
        <v>45334.52237268518</v>
      </c>
      <c r="C3997" s="1" t="n">
        <v>46011</v>
      </c>
      <c r="D3997" t="inlineStr">
        <is>
          <t>VÄSTRA GÖTALANDS LÄN</t>
        </is>
      </c>
      <c r="E3997" t="inlineStr">
        <is>
          <t>TIDAHOLM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57234-2023</t>
        </is>
      </c>
      <c r="B3998" s="1" t="n">
        <v>45245.54103009259</v>
      </c>
      <c r="C3998" s="1" t="n">
        <v>46011</v>
      </c>
      <c r="D3998" t="inlineStr">
        <is>
          <t>VÄSTRA GÖTALANDS LÄN</t>
        </is>
      </c>
      <c r="E3998" t="inlineStr">
        <is>
          <t>TRANEMO</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38370-2025</t>
        </is>
      </c>
      <c r="B3999" s="1" t="n">
        <v>45883.55738425926</v>
      </c>
      <c r="C3999" s="1" t="n">
        <v>46011</v>
      </c>
      <c r="D3999" t="inlineStr">
        <is>
          <t>VÄSTRA GÖTALANDS LÄN</t>
        </is>
      </c>
      <c r="E3999" t="inlineStr">
        <is>
          <t>DALS-ED</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24659-2025</t>
        </is>
      </c>
      <c r="B4000" s="1" t="n">
        <v>45798.64138888889</v>
      </c>
      <c r="C4000" s="1" t="n">
        <v>46011</v>
      </c>
      <c r="D4000" t="inlineStr">
        <is>
          <t>VÄSTRA GÖTALANDS LÄN</t>
        </is>
      </c>
      <c r="E4000" t="inlineStr">
        <is>
          <t>BENGTSFORS</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38437-2025</t>
        </is>
      </c>
      <c r="B4001" s="1" t="n">
        <v>45883.64337962963</v>
      </c>
      <c r="C4001" s="1" t="n">
        <v>46011</v>
      </c>
      <c r="D4001" t="inlineStr">
        <is>
          <t>VÄSTRA GÖTALANDS LÄN</t>
        </is>
      </c>
      <c r="E4001" t="inlineStr">
        <is>
          <t>TRANEMO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50827-2022</t>
        </is>
      </c>
      <c r="B4002" s="1" t="n">
        <v>44867</v>
      </c>
      <c r="C4002" s="1" t="n">
        <v>46011</v>
      </c>
      <c r="D4002" t="inlineStr">
        <is>
          <t>VÄSTRA GÖTALANDS LÄN</t>
        </is>
      </c>
      <c r="E4002" t="inlineStr">
        <is>
          <t>TRANEMO</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6379-2025</t>
        </is>
      </c>
      <c r="B4003" s="1" t="n">
        <v>45699.41542824074</v>
      </c>
      <c r="C4003" s="1" t="n">
        <v>46011</v>
      </c>
      <c r="D4003" t="inlineStr">
        <is>
          <t>VÄSTRA GÖTALANDS LÄN</t>
        </is>
      </c>
      <c r="E4003" t="inlineStr">
        <is>
          <t>BORÅS</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15645-2024</t>
        </is>
      </c>
      <c r="B4004" s="1" t="n">
        <v>45404.32452546297</v>
      </c>
      <c r="C4004" s="1" t="n">
        <v>46011</v>
      </c>
      <c r="D4004" t="inlineStr">
        <is>
          <t>VÄSTRA GÖTALANDS LÄN</t>
        </is>
      </c>
      <c r="E4004" t="inlineStr">
        <is>
          <t>TROLLHÄTTAN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2198-2024</t>
        </is>
      </c>
      <c r="B4005" s="1" t="n">
        <v>45309</v>
      </c>
      <c r="C4005" s="1" t="n">
        <v>46011</v>
      </c>
      <c r="D4005" t="inlineStr">
        <is>
          <t>VÄSTRA GÖTALANDS LÄN</t>
        </is>
      </c>
      <c r="E4005" t="inlineStr">
        <is>
          <t>BENGTSFORS</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24321-2025</t>
        </is>
      </c>
      <c r="B4006" s="1" t="n">
        <v>45797</v>
      </c>
      <c r="C4006" s="1" t="n">
        <v>46011</v>
      </c>
      <c r="D4006" t="inlineStr">
        <is>
          <t>VÄSTRA GÖTALANDS LÄN</t>
        </is>
      </c>
      <c r="E4006" t="inlineStr">
        <is>
          <t>ORUST</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24352-2025</t>
        </is>
      </c>
      <c r="B4007" s="1" t="n">
        <v>45797.58431712963</v>
      </c>
      <c r="C4007" s="1" t="n">
        <v>46011</v>
      </c>
      <c r="D4007" t="inlineStr">
        <is>
          <t>VÄSTRA GÖTALANDS LÄN</t>
        </is>
      </c>
      <c r="E4007" t="inlineStr">
        <is>
          <t>LIDKÖPING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29840-2024</t>
        </is>
      </c>
      <c r="B4008" s="1" t="n">
        <v>45485.59770833333</v>
      </c>
      <c r="C4008" s="1" t="n">
        <v>46011</v>
      </c>
      <c r="D4008" t="inlineStr">
        <is>
          <t>VÄSTRA GÖTALANDS LÄN</t>
        </is>
      </c>
      <c r="E4008" t="inlineStr">
        <is>
          <t>TIDAHOLM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43105-2024</t>
        </is>
      </c>
      <c r="B4009" s="1" t="n">
        <v>45567</v>
      </c>
      <c r="C4009" s="1" t="n">
        <v>46011</v>
      </c>
      <c r="D4009" t="inlineStr">
        <is>
          <t>VÄSTRA GÖTALANDS LÄN</t>
        </is>
      </c>
      <c r="E4009" t="inlineStr">
        <is>
          <t>GULLSPÅNG</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28460-2024</t>
        </is>
      </c>
      <c r="B4010" s="1" t="n">
        <v>45477</v>
      </c>
      <c r="C4010" s="1" t="n">
        <v>46011</v>
      </c>
      <c r="D4010" t="inlineStr">
        <is>
          <t>VÄSTRA GÖTALANDS LÄN</t>
        </is>
      </c>
      <c r="E4010" t="inlineStr">
        <is>
          <t>BENGTSFORS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47758-2024</t>
        </is>
      </c>
      <c r="B4011" s="1" t="n">
        <v>45588.55344907408</v>
      </c>
      <c r="C4011" s="1" t="n">
        <v>46011</v>
      </c>
      <c r="D4011" t="inlineStr">
        <is>
          <t>VÄSTRA GÖTALANDS LÄN</t>
        </is>
      </c>
      <c r="E4011" t="inlineStr">
        <is>
          <t>MUNKEDAL</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45147-2024</t>
        </is>
      </c>
      <c r="B4012" s="1" t="n">
        <v>45575</v>
      </c>
      <c r="C4012" s="1" t="n">
        <v>46011</v>
      </c>
      <c r="D4012" t="inlineStr">
        <is>
          <t>VÄSTRA GÖTALANDS LÄN</t>
        </is>
      </c>
      <c r="E4012" t="inlineStr">
        <is>
          <t>BENGTSFORS</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60744-2022</t>
        </is>
      </c>
      <c r="B4013" s="1" t="n">
        <v>44914.29723379629</v>
      </c>
      <c r="C4013" s="1" t="n">
        <v>46011</v>
      </c>
      <c r="D4013" t="inlineStr">
        <is>
          <t>VÄSTRA GÖTALANDS LÄN</t>
        </is>
      </c>
      <c r="E4013" t="inlineStr">
        <is>
          <t>ULRICEHAMN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32208-2023</t>
        </is>
      </c>
      <c r="B4014" s="1" t="n">
        <v>45119</v>
      </c>
      <c r="C4014" s="1" t="n">
        <v>46011</v>
      </c>
      <c r="D4014" t="inlineStr">
        <is>
          <t>VÄSTRA GÖTALANDS LÄN</t>
        </is>
      </c>
      <c r="E4014" t="inlineStr">
        <is>
          <t>BOLLEBYGD</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62097-2022</t>
        </is>
      </c>
      <c r="B4015" s="1" t="n">
        <v>44920</v>
      </c>
      <c r="C4015" s="1" t="n">
        <v>46011</v>
      </c>
      <c r="D4015" t="inlineStr">
        <is>
          <t>VÄSTRA GÖTALANDS LÄN</t>
        </is>
      </c>
      <c r="E4015" t="inlineStr">
        <is>
          <t>VÅRGÅRDA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25359-2025</t>
        </is>
      </c>
      <c r="B4016" s="1" t="n">
        <v>45800.61756944445</v>
      </c>
      <c r="C4016" s="1" t="n">
        <v>46011</v>
      </c>
      <c r="D4016" t="inlineStr">
        <is>
          <t>VÄSTRA GÖTALANDS LÄN</t>
        </is>
      </c>
      <c r="E4016" t="inlineStr">
        <is>
          <t>VARA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39000-2023</t>
        </is>
      </c>
      <c r="B4017" s="1" t="n">
        <v>45163.67079861111</v>
      </c>
      <c r="C4017" s="1" t="n">
        <v>46011</v>
      </c>
      <c r="D4017" t="inlineStr">
        <is>
          <t>VÄSTRA GÖTALANDS LÄN</t>
        </is>
      </c>
      <c r="E4017" t="inlineStr">
        <is>
          <t>VÅRGÅRDA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1288-2025</t>
        </is>
      </c>
      <c r="B4018" s="1" t="n">
        <v>45667.50971064815</v>
      </c>
      <c r="C4018" s="1" t="n">
        <v>46011</v>
      </c>
      <c r="D4018" t="inlineStr">
        <is>
          <t>VÄSTRA GÖTALANDS LÄN</t>
        </is>
      </c>
      <c r="E4018" t="inlineStr">
        <is>
          <t>ORUST</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25324-2025</t>
        </is>
      </c>
      <c r="B4019" s="1" t="n">
        <v>45800</v>
      </c>
      <c r="C4019" s="1" t="n">
        <v>46011</v>
      </c>
      <c r="D4019" t="inlineStr">
        <is>
          <t>VÄSTRA GÖTALANDS LÄN</t>
        </is>
      </c>
      <c r="E4019" t="inlineStr">
        <is>
          <t>VÅRGÅRDA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25336-2025</t>
        </is>
      </c>
      <c r="B4020" s="1" t="n">
        <v>45800.5974074074</v>
      </c>
      <c r="C4020" s="1" t="n">
        <v>46011</v>
      </c>
      <c r="D4020" t="inlineStr">
        <is>
          <t>VÄSTRA GÖTALANDS LÄN</t>
        </is>
      </c>
      <c r="E4020" t="inlineStr">
        <is>
          <t>UDDEVALLA</t>
        </is>
      </c>
      <c r="G4020" t="n">
        <v>19.5</v>
      </c>
      <c r="H4020" t="n">
        <v>0</v>
      </c>
      <c r="I4020" t="n">
        <v>0</v>
      </c>
      <c r="J4020" t="n">
        <v>0</v>
      </c>
      <c r="K4020" t="n">
        <v>0</v>
      </c>
      <c r="L4020" t="n">
        <v>0</v>
      </c>
      <c r="M4020" t="n">
        <v>0</v>
      </c>
      <c r="N4020" t="n">
        <v>0</v>
      </c>
      <c r="O4020" t="n">
        <v>0</v>
      </c>
      <c r="P4020" t="n">
        <v>0</v>
      </c>
      <c r="Q4020" t="n">
        <v>0</v>
      </c>
      <c r="R4020" s="2" t="inlineStr"/>
    </row>
    <row r="4021" ht="15" customHeight="1">
      <c r="A4021" t="inlineStr">
        <is>
          <t>A 24894-2025</t>
        </is>
      </c>
      <c r="B4021" s="1" t="n">
        <v>45799.51355324074</v>
      </c>
      <c r="C4021" s="1" t="n">
        <v>46011</v>
      </c>
      <c r="D4021" t="inlineStr">
        <is>
          <t>VÄSTRA GÖTALANDS LÄN</t>
        </is>
      </c>
      <c r="E4021" t="inlineStr">
        <is>
          <t>VÄNERSBORG</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38441-2025</t>
        </is>
      </c>
      <c r="B4022" s="1" t="n">
        <v>45883.64910879629</v>
      </c>
      <c r="C4022" s="1" t="n">
        <v>46011</v>
      </c>
      <c r="D4022" t="inlineStr">
        <is>
          <t>VÄSTRA GÖTALANDS LÄN</t>
        </is>
      </c>
      <c r="E4022" t="inlineStr">
        <is>
          <t>MELLERUD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43732-2021</t>
        </is>
      </c>
      <c r="B4023" s="1" t="n">
        <v>44433.63525462963</v>
      </c>
      <c r="C4023" s="1" t="n">
        <v>46011</v>
      </c>
      <c r="D4023" t="inlineStr">
        <is>
          <t>VÄSTRA GÖTALANDS LÄN</t>
        </is>
      </c>
      <c r="E4023" t="inlineStr">
        <is>
          <t>FALKÖPING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2761-2023</t>
        </is>
      </c>
      <c r="B4024" s="1" t="n">
        <v>44944.61564814814</v>
      </c>
      <c r="C4024" s="1" t="n">
        <v>46011</v>
      </c>
      <c r="D4024" t="inlineStr">
        <is>
          <t>VÄSTRA GÖTALANDS LÄN</t>
        </is>
      </c>
      <c r="E4024" t="inlineStr">
        <is>
          <t>TIBRO</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15364-2022</t>
        </is>
      </c>
      <c r="B4025" s="1" t="n">
        <v>44659</v>
      </c>
      <c r="C4025" s="1" t="n">
        <v>46011</v>
      </c>
      <c r="D4025" t="inlineStr">
        <is>
          <t>VÄSTRA GÖTALANDS LÄN</t>
        </is>
      </c>
      <c r="E4025" t="inlineStr">
        <is>
          <t>DALS-ED</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2803-2023</t>
        </is>
      </c>
      <c r="B4026" s="1" t="n">
        <v>44944</v>
      </c>
      <c r="C4026" s="1" t="n">
        <v>46011</v>
      </c>
      <c r="D4026" t="inlineStr">
        <is>
          <t>VÄSTRA GÖTALANDS LÄN</t>
        </is>
      </c>
      <c r="E4026" t="inlineStr">
        <is>
          <t>BENGTSFORS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66771-2021</t>
        </is>
      </c>
      <c r="B4027" s="1" t="n">
        <v>44521</v>
      </c>
      <c r="C4027" s="1" t="n">
        <v>46011</v>
      </c>
      <c r="D4027" t="inlineStr">
        <is>
          <t>VÄSTRA GÖTALANDS LÄN</t>
        </is>
      </c>
      <c r="E4027" t="inlineStr">
        <is>
          <t>MARIESTAD</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2866-2023</t>
        </is>
      </c>
      <c r="B4028" s="1" t="n">
        <v>44945</v>
      </c>
      <c r="C4028" s="1" t="n">
        <v>46011</v>
      </c>
      <c r="D4028" t="inlineStr">
        <is>
          <t>VÄSTRA GÖTALANDS LÄN</t>
        </is>
      </c>
      <c r="E4028" t="inlineStr">
        <is>
          <t>HJO</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28271-2023</t>
        </is>
      </c>
      <c r="B4029" s="1" t="n">
        <v>45099</v>
      </c>
      <c r="C4029" s="1" t="n">
        <v>46011</v>
      </c>
      <c r="D4029" t="inlineStr">
        <is>
          <t>VÄSTRA GÖTALANDS LÄN</t>
        </is>
      </c>
      <c r="E4029" t="inlineStr">
        <is>
          <t>SVENLJUNGA</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35610-2024</t>
        </is>
      </c>
      <c r="B4030" s="1" t="n">
        <v>45531</v>
      </c>
      <c r="C4030" s="1" t="n">
        <v>46011</v>
      </c>
      <c r="D4030" t="inlineStr">
        <is>
          <t>VÄSTRA GÖTALANDS LÄN</t>
        </is>
      </c>
      <c r="E4030" t="inlineStr">
        <is>
          <t>SKÖVDE</t>
        </is>
      </c>
      <c r="G4030" t="n">
        <v>11.7</v>
      </c>
      <c r="H4030" t="n">
        <v>0</v>
      </c>
      <c r="I4030" t="n">
        <v>0</v>
      </c>
      <c r="J4030" t="n">
        <v>0</v>
      </c>
      <c r="K4030" t="n">
        <v>0</v>
      </c>
      <c r="L4030" t="n">
        <v>0</v>
      </c>
      <c r="M4030" t="n">
        <v>0</v>
      </c>
      <c r="N4030" t="n">
        <v>0</v>
      </c>
      <c r="O4030" t="n">
        <v>0</v>
      </c>
      <c r="P4030" t="n">
        <v>0</v>
      </c>
      <c r="Q4030" t="n">
        <v>0</v>
      </c>
      <c r="R4030" s="2" t="inlineStr"/>
    </row>
    <row r="4031" ht="15" customHeight="1">
      <c r="A4031" t="inlineStr">
        <is>
          <t>A 9721-2023</t>
        </is>
      </c>
      <c r="B4031" s="1" t="n">
        <v>44984</v>
      </c>
      <c r="C4031" s="1" t="n">
        <v>46011</v>
      </c>
      <c r="D4031" t="inlineStr">
        <is>
          <t>VÄSTRA GÖTALANDS LÄN</t>
        </is>
      </c>
      <c r="E4031" t="inlineStr">
        <is>
          <t>VÅRGÅRDA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51289-2024</t>
        </is>
      </c>
      <c r="B4032" s="1" t="n">
        <v>45603.85575231481</v>
      </c>
      <c r="C4032" s="1" t="n">
        <v>46011</v>
      </c>
      <c r="D4032" t="inlineStr">
        <is>
          <t>VÄSTRA GÖTALANDS LÄN</t>
        </is>
      </c>
      <c r="E4032" t="inlineStr">
        <is>
          <t>TIDAHOLM</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38701-2025</t>
        </is>
      </c>
      <c r="B4033" s="1" t="n">
        <v>45884</v>
      </c>
      <c r="C4033" s="1" t="n">
        <v>46011</v>
      </c>
      <c r="D4033" t="inlineStr">
        <is>
          <t>VÄSTRA GÖTALANDS LÄN</t>
        </is>
      </c>
      <c r="E4033" t="inlineStr">
        <is>
          <t>GÖTENE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25222-2025</t>
        </is>
      </c>
      <c r="B4034" s="1" t="n">
        <v>45800.47864583333</v>
      </c>
      <c r="C4034" s="1" t="n">
        <v>46011</v>
      </c>
      <c r="D4034" t="inlineStr">
        <is>
          <t>VÄSTRA GÖTALANDS LÄN</t>
        </is>
      </c>
      <c r="E4034" t="inlineStr">
        <is>
          <t>SKARA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58389-2022</t>
        </is>
      </c>
      <c r="B4035" s="1" t="n">
        <v>44901</v>
      </c>
      <c r="C4035" s="1" t="n">
        <v>46011</v>
      </c>
      <c r="D4035" t="inlineStr">
        <is>
          <t>VÄSTRA GÖTALANDS LÄN</t>
        </is>
      </c>
      <c r="E4035" t="inlineStr">
        <is>
          <t>SVENLJUNGA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24996-2025</t>
        </is>
      </c>
      <c r="B4036" s="1" t="n">
        <v>45799.61603009259</v>
      </c>
      <c r="C4036" s="1" t="n">
        <v>46011</v>
      </c>
      <c r="D4036" t="inlineStr">
        <is>
          <t>VÄSTRA GÖTALANDS LÄN</t>
        </is>
      </c>
      <c r="E4036" t="inlineStr">
        <is>
          <t>SKÖVDE</t>
        </is>
      </c>
      <c r="F4036" t="inlineStr">
        <is>
          <t>Kommuner</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51381-2024</t>
        </is>
      </c>
      <c r="B4037" s="1" t="n">
        <v>45604.39118055555</v>
      </c>
      <c r="C4037" s="1" t="n">
        <v>46011</v>
      </c>
      <c r="D4037" t="inlineStr">
        <is>
          <t>VÄSTRA GÖTALANDS LÄN</t>
        </is>
      </c>
      <c r="E4037" t="inlineStr">
        <is>
          <t>TROLLHÄTTAN</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7498-2023</t>
        </is>
      </c>
      <c r="B4038" s="1" t="n">
        <v>44971.7277662037</v>
      </c>
      <c r="C4038" s="1" t="n">
        <v>46011</v>
      </c>
      <c r="D4038" t="inlineStr">
        <is>
          <t>VÄSTRA GÖTALANDS LÄN</t>
        </is>
      </c>
      <c r="E4038" t="inlineStr">
        <is>
          <t>MARK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19840-2025</t>
        </is>
      </c>
      <c r="B4039" s="1" t="n">
        <v>45771</v>
      </c>
      <c r="C4039" s="1" t="n">
        <v>46011</v>
      </c>
      <c r="D4039" t="inlineStr">
        <is>
          <t>VÄSTRA GÖTALANDS LÄN</t>
        </is>
      </c>
      <c r="E4039" t="inlineStr">
        <is>
          <t>LIDKÖPING</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25420-2025</t>
        </is>
      </c>
      <c r="B4040" s="1" t="n">
        <v>45800.69072916666</v>
      </c>
      <c r="C4040" s="1" t="n">
        <v>46011</v>
      </c>
      <c r="D4040" t="inlineStr">
        <is>
          <t>VÄSTRA GÖTALANDS LÄN</t>
        </is>
      </c>
      <c r="E4040" t="inlineStr">
        <is>
          <t>TRANEMO</t>
        </is>
      </c>
      <c r="F4040" t="inlineStr">
        <is>
          <t>Sveaskog</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38595-2023</t>
        </is>
      </c>
      <c r="B4041" s="1" t="n">
        <v>45162.64134259259</v>
      </c>
      <c r="C4041" s="1" t="n">
        <v>46011</v>
      </c>
      <c r="D4041" t="inlineStr">
        <is>
          <t>VÄSTRA GÖTALANDS LÄN</t>
        </is>
      </c>
      <c r="E4041" t="inlineStr">
        <is>
          <t>ULRICEHAMN</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44408-2021</t>
        </is>
      </c>
      <c r="B4042" s="1" t="n">
        <v>44435</v>
      </c>
      <c r="C4042" s="1" t="n">
        <v>46011</v>
      </c>
      <c r="D4042" t="inlineStr">
        <is>
          <t>VÄSTRA GÖTALANDS LÄN</t>
        </is>
      </c>
      <c r="E4042" t="inlineStr">
        <is>
          <t>STRÖMSTAD</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24771-2025</t>
        </is>
      </c>
      <c r="B4043" s="1" t="n">
        <v>45799.40148148148</v>
      </c>
      <c r="C4043" s="1" t="n">
        <v>46011</v>
      </c>
      <c r="D4043" t="inlineStr">
        <is>
          <t>VÄSTRA GÖTALANDS LÄN</t>
        </is>
      </c>
      <c r="E4043" t="inlineStr">
        <is>
          <t>MARK</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28850-2024</t>
        </is>
      </c>
      <c r="B4044" s="1" t="n">
        <v>45478</v>
      </c>
      <c r="C4044" s="1" t="n">
        <v>46011</v>
      </c>
      <c r="D4044" t="inlineStr">
        <is>
          <t>VÄSTRA GÖTALANDS LÄN</t>
        </is>
      </c>
      <c r="E4044" t="inlineStr">
        <is>
          <t>LIDKÖPING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31051-2022</t>
        </is>
      </c>
      <c r="B4045" s="1" t="n">
        <v>44769</v>
      </c>
      <c r="C4045" s="1" t="n">
        <v>46011</v>
      </c>
      <c r="D4045" t="inlineStr">
        <is>
          <t>VÄSTRA GÖTALANDS LÄN</t>
        </is>
      </c>
      <c r="E4045" t="inlineStr">
        <is>
          <t>VÄNERSBORG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18821-2025</t>
        </is>
      </c>
      <c r="B4046" s="1" t="n">
        <v>45764.37849537037</v>
      </c>
      <c r="C4046" s="1" t="n">
        <v>46011</v>
      </c>
      <c r="D4046" t="inlineStr">
        <is>
          <t>VÄSTRA GÖTALANDS LÄN</t>
        </is>
      </c>
      <c r="E4046" t="inlineStr">
        <is>
          <t>TROLLHÄTTAN</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24731-2025</t>
        </is>
      </c>
      <c r="B4047" s="1" t="n">
        <v>45799.34209490741</v>
      </c>
      <c r="C4047" s="1" t="n">
        <v>46011</v>
      </c>
      <c r="D4047" t="inlineStr">
        <is>
          <t>VÄSTRA GÖTALANDS LÄN</t>
        </is>
      </c>
      <c r="E4047" t="inlineStr">
        <is>
          <t>FÄRGELANDA</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20534-2024</t>
        </is>
      </c>
      <c r="B4048" s="1" t="n">
        <v>45436.29991898148</v>
      </c>
      <c r="C4048" s="1" t="n">
        <v>46011</v>
      </c>
      <c r="D4048" t="inlineStr">
        <is>
          <t>VÄSTRA GÖTALANDS LÄN</t>
        </is>
      </c>
      <c r="E4048" t="inlineStr">
        <is>
          <t>TRANEMO</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24882-2025</t>
        </is>
      </c>
      <c r="B4049" s="1" t="n">
        <v>45799.49961805555</v>
      </c>
      <c r="C4049" s="1" t="n">
        <v>46011</v>
      </c>
      <c r="D4049" t="inlineStr">
        <is>
          <t>VÄSTRA GÖTALANDS LÄN</t>
        </is>
      </c>
      <c r="E4049" t="inlineStr">
        <is>
          <t>VÄNERSBORG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24899-2025</t>
        </is>
      </c>
      <c r="B4050" s="1" t="n">
        <v>45799.5200462963</v>
      </c>
      <c r="C4050" s="1" t="n">
        <v>46011</v>
      </c>
      <c r="D4050" t="inlineStr">
        <is>
          <t>VÄSTRA GÖTALANDS LÄN</t>
        </is>
      </c>
      <c r="E4050" t="inlineStr">
        <is>
          <t>UDDEVALLA</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25254-2025</t>
        </is>
      </c>
      <c r="B4051" s="1" t="n">
        <v>45800.50479166667</v>
      </c>
      <c r="C4051" s="1" t="n">
        <v>46011</v>
      </c>
      <c r="D4051" t="inlineStr">
        <is>
          <t>VÄSTRA GÖTALANDS LÄN</t>
        </is>
      </c>
      <c r="E4051" t="inlineStr">
        <is>
          <t>PARTILLE</t>
        </is>
      </c>
      <c r="F4051" t="inlineStr">
        <is>
          <t>Kommuner</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63265-2023</t>
        </is>
      </c>
      <c r="B4052" s="1" t="n">
        <v>45273.73775462963</v>
      </c>
      <c r="C4052" s="1" t="n">
        <v>46011</v>
      </c>
      <c r="D4052" t="inlineStr">
        <is>
          <t>VÄSTRA GÖTALANDS LÄN</t>
        </is>
      </c>
      <c r="E4052" t="inlineStr">
        <is>
          <t>ULRICEHAMN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6571-2024</t>
        </is>
      </c>
      <c r="B4053" s="1" t="n">
        <v>45341</v>
      </c>
      <c r="C4053" s="1" t="n">
        <v>46011</v>
      </c>
      <c r="D4053" t="inlineStr">
        <is>
          <t>VÄSTRA GÖTALANDS LÄN</t>
        </is>
      </c>
      <c r="E4053" t="inlineStr">
        <is>
          <t>ULRICEHAMN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54038-2021</t>
        </is>
      </c>
      <c r="B4054" s="1" t="n">
        <v>44470</v>
      </c>
      <c r="C4054" s="1" t="n">
        <v>46011</v>
      </c>
      <c r="D4054" t="inlineStr">
        <is>
          <t>VÄSTRA GÖTALANDS LÄN</t>
        </is>
      </c>
      <c r="E4054" t="inlineStr">
        <is>
          <t>FÄRGELANDA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51488-2022</t>
        </is>
      </c>
      <c r="B4055" s="1" t="n">
        <v>44869</v>
      </c>
      <c r="C4055" s="1" t="n">
        <v>46011</v>
      </c>
      <c r="D4055" t="inlineStr">
        <is>
          <t>VÄSTRA GÖTALANDS LÄN</t>
        </is>
      </c>
      <c r="E4055" t="inlineStr">
        <is>
          <t>LILLA EDET</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43884-2021</t>
        </is>
      </c>
      <c r="B4056" s="1" t="n">
        <v>44434</v>
      </c>
      <c r="C4056" s="1" t="n">
        <v>46011</v>
      </c>
      <c r="D4056" t="inlineStr">
        <is>
          <t>VÄSTRA GÖTALANDS LÄN</t>
        </is>
      </c>
      <c r="E4056" t="inlineStr">
        <is>
          <t>TANUM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43889-2021</t>
        </is>
      </c>
      <c r="B4057" s="1" t="n">
        <v>44434</v>
      </c>
      <c r="C4057" s="1" t="n">
        <v>46011</v>
      </c>
      <c r="D4057" t="inlineStr">
        <is>
          <t>VÄSTRA GÖTALANDS LÄN</t>
        </is>
      </c>
      <c r="E4057" t="inlineStr">
        <is>
          <t>TANUM</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29502-2021</t>
        </is>
      </c>
      <c r="B4058" s="1" t="n">
        <v>44361</v>
      </c>
      <c r="C4058" s="1" t="n">
        <v>46011</v>
      </c>
      <c r="D4058" t="inlineStr">
        <is>
          <t>VÄSTRA GÖTALANDS LÄN</t>
        </is>
      </c>
      <c r="E4058" t="inlineStr">
        <is>
          <t>MUNKEDAL</t>
        </is>
      </c>
      <c r="G4058" t="n">
        <v>25.7</v>
      </c>
      <c r="H4058" t="n">
        <v>0</v>
      </c>
      <c r="I4058" t="n">
        <v>0</v>
      </c>
      <c r="J4058" t="n">
        <v>0</v>
      </c>
      <c r="K4058" t="n">
        <v>0</v>
      </c>
      <c r="L4058" t="n">
        <v>0</v>
      </c>
      <c r="M4058" t="n">
        <v>0</v>
      </c>
      <c r="N4058" t="n">
        <v>0</v>
      </c>
      <c r="O4058" t="n">
        <v>0</v>
      </c>
      <c r="P4058" t="n">
        <v>0</v>
      </c>
      <c r="Q4058" t="n">
        <v>0</v>
      </c>
      <c r="R4058" s="2" t="inlineStr"/>
    </row>
    <row r="4059" ht="15" customHeight="1">
      <c r="A4059" t="inlineStr">
        <is>
          <t>A 63590-2023</t>
        </is>
      </c>
      <c r="B4059" s="1" t="n">
        <v>45275</v>
      </c>
      <c r="C4059" s="1" t="n">
        <v>46011</v>
      </c>
      <c r="D4059" t="inlineStr">
        <is>
          <t>VÄSTRA GÖTALANDS LÄN</t>
        </is>
      </c>
      <c r="E4059" t="inlineStr">
        <is>
          <t>MARK</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63591-2023</t>
        </is>
      </c>
      <c r="B4060" s="1" t="n">
        <v>45275</v>
      </c>
      <c r="C4060" s="1" t="n">
        <v>46011</v>
      </c>
      <c r="D4060" t="inlineStr">
        <is>
          <t>VÄSTRA GÖTALANDS LÄN</t>
        </is>
      </c>
      <c r="E4060" t="inlineStr">
        <is>
          <t>MARK</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71326-2021</t>
        </is>
      </c>
      <c r="B4061" s="1" t="n">
        <v>44539.75721064815</v>
      </c>
      <c r="C4061" s="1" t="n">
        <v>46011</v>
      </c>
      <c r="D4061" t="inlineStr">
        <is>
          <t>VÄSTRA GÖTALANDS LÄN</t>
        </is>
      </c>
      <c r="E4061" t="inlineStr">
        <is>
          <t>VARA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24713-2023</t>
        </is>
      </c>
      <c r="B4062" s="1" t="n">
        <v>45084.5583449074</v>
      </c>
      <c r="C4062" s="1" t="n">
        <v>46011</v>
      </c>
      <c r="D4062" t="inlineStr">
        <is>
          <t>VÄSTRA GÖTALANDS LÄN</t>
        </is>
      </c>
      <c r="E4062" t="inlineStr">
        <is>
          <t>ULRICEHAMN</t>
        </is>
      </c>
      <c r="F4062" t="inlineStr">
        <is>
          <t>Sveaskog</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11440-2022</t>
        </is>
      </c>
      <c r="B4063" s="1" t="n">
        <v>44630</v>
      </c>
      <c r="C4063" s="1" t="n">
        <v>46011</v>
      </c>
      <c r="D4063" t="inlineStr">
        <is>
          <t>VÄSTRA GÖTALANDS LÄN</t>
        </is>
      </c>
      <c r="E4063" t="inlineStr">
        <is>
          <t>FALKÖPING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21190-2023</t>
        </is>
      </c>
      <c r="B4064" s="1" t="n">
        <v>45062.47752314815</v>
      </c>
      <c r="C4064" s="1" t="n">
        <v>46011</v>
      </c>
      <c r="D4064" t="inlineStr">
        <is>
          <t>VÄSTRA GÖTALANDS LÄN</t>
        </is>
      </c>
      <c r="E4064" t="inlineStr">
        <is>
          <t>TRANEMO</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25751-2025</t>
        </is>
      </c>
      <c r="B4065" s="1" t="n">
        <v>45800</v>
      </c>
      <c r="C4065" s="1" t="n">
        <v>46011</v>
      </c>
      <c r="D4065" t="inlineStr">
        <is>
          <t>VÄSTRA GÖTALANDS LÄN</t>
        </is>
      </c>
      <c r="E4065" t="inlineStr">
        <is>
          <t>ÅMÅL</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24962-2025</t>
        </is>
      </c>
      <c r="B4066" s="1" t="n">
        <v>45799.57716435185</v>
      </c>
      <c r="C4066" s="1" t="n">
        <v>46011</v>
      </c>
      <c r="D4066" t="inlineStr">
        <is>
          <t>VÄSTRA GÖTALANDS LÄN</t>
        </is>
      </c>
      <c r="E4066" t="inlineStr">
        <is>
          <t>SKÖVDE</t>
        </is>
      </c>
      <c r="F4066" t="inlineStr">
        <is>
          <t>Kommuner</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18398-2024</t>
        </is>
      </c>
      <c r="B4067" s="1" t="n">
        <v>45425.25521990741</v>
      </c>
      <c r="C4067" s="1" t="n">
        <v>46011</v>
      </c>
      <c r="D4067" t="inlineStr">
        <is>
          <t>VÄSTRA GÖTALANDS LÄN</t>
        </is>
      </c>
      <c r="E4067" t="inlineStr">
        <is>
          <t>TANUM</t>
        </is>
      </c>
      <c r="F4067" t="inlineStr">
        <is>
          <t>Kommuner</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18400-2024</t>
        </is>
      </c>
      <c r="B4068" s="1" t="n">
        <v>45425.28621527777</v>
      </c>
      <c r="C4068" s="1" t="n">
        <v>46011</v>
      </c>
      <c r="D4068" t="inlineStr">
        <is>
          <t>VÄSTRA GÖTALANDS LÄN</t>
        </is>
      </c>
      <c r="E4068" t="inlineStr">
        <is>
          <t>TANUM</t>
        </is>
      </c>
      <c r="F4068" t="inlineStr">
        <is>
          <t>Kommuner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25053-2025</t>
        </is>
      </c>
      <c r="B4069" s="1" t="n">
        <v>45799.67575231481</v>
      </c>
      <c r="C4069" s="1" t="n">
        <v>46011</v>
      </c>
      <c r="D4069" t="inlineStr">
        <is>
          <t>VÄSTRA GÖTALANDS LÄN</t>
        </is>
      </c>
      <c r="E4069" t="inlineStr">
        <is>
          <t>HJO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24781-2025</t>
        </is>
      </c>
      <c r="B4070" s="1" t="n">
        <v>45799.41793981481</v>
      </c>
      <c r="C4070" s="1" t="n">
        <v>46011</v>
      </c>
      <c r="D4070" t="inlineStr">
        <is>
          <t>VÄSTRA GÖTALANDS LÄN</t>
        </is>
      </c>
      <c r="E4070" t="inlineStr">
        <is>
          <t>MARK</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18997-2024</t>
        </is>
      </c>
      <c r="B4071" s="1" t="n">
        <v>45427.62200231481</v>
      </c>
      <c r="C4071" s="1" t="n">
        <v>46011</v>
      </c>
      <c r="D4071" t="inlineStr">
        <is>
          <t>VÄSTRA GÖTALANDS LÄN</t>
        </is>
      </c>
      <c r="E4071" t="inlineStr">
        <is>
          <t>VÄNERSBORG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48302-2022</t>
        </is>
      </c>
      <c r="B4072" s="1" t="n">
        <v>44858.52567129629</v>
      </c>
      <c r="C4072" s="1" t="n">
        <v>46011</v>
      </c>
      <c r="D4072" t="inlineStr">
        <is>
          <t>VÄSTRA GÖTALANDS LÄN</t>
        </is>
      </c>
      <c r="E4072" t="inlineStr">
        <is>
          <t>TANUM</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25219-2025</t>
        </is>
      </c>
      <c r="B4073" s="1" t="n">
        <v>45800</v>
      </c>
      <c r="C4073" s="1" t="n">
        <v>46011</v>
      </c>
      <c r="D4073" t="inlineStr">
        <is>
          <t>VÄSTRA GÖTALANDS LÄN</t>
        </is>
      </c>
      <c r="E4073" t="inlineStr">
        <is>
          <t>SKARA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52471-2023</t>
        </is>
      </c>
      <c r="B4074" s="1" t="n">
        <v>45225</v>
      </c>
      <c r="C4074" s="1" t="n">
        <v>46011</v>
      </c>
      <c r="D4074" t="inlineStr">
        <is>
          <t>VÄSTRA GÖTALANDS LÄN</t>
        </is>
      </c>
      <c r="E4074" t="inlineStr">
        <is>
          <t>MELLERUD</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34189-2023</t>
        </is>
      </c>
      <c r="B4075" s="1" t="n">
        <v>45138.40096064815</v>
      </c>
      <c r="C4075" s="1" t="n">
        <v>46011</v>
      </c>
      <c r="D4075" t="inlineStr">
        <is>
          <t>VÄSTRA GÖTALANDS LÄN</t>
        </is>
      </c>
      <c r="E4075" t="inlineStr">
        <is>
          <t>HERRLJUNGA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25271-2025</t>
        </is>
      </c>
      <c r="B4076" s="1" t="n">
        <v>45800.55153935185</v>
      </c>
      <c r="C4076" s="1" t="n">
        <v>46011</v>
      </c>
      <c r="D4076" t="inlineStr">
        <is>
          <t>VÄSTRA GÖTALANDS LÄN</t>
        </is>
      </c>
      <c r="E4076" t="inlineStr">
        <is>
          <t>SKÖVDE</t>
        </is>
      </c>
      <c r="F4076" t="inlineStr">
        <is>
          <t>Kommuner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26542-2024</t>
        </is>
      </c>
      <c r="B4077" s="1" t="n">
        <v>45469</v>
      </c>
      <c r="C4077" s="1" t="n">
        <v>46011</v>
      </c>
      <c r="D4077" t="inlineStr">
        <is>
          <t>VÄSTRA GÖTALANDS LÄN</t>
        </is>
      </c>
      <c r="E4077" t="inlineStr">
        <is>
          <t>TIDAHOLM</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26575-2024</t>
        </is>
      </c>
      <c r="B4078" s="1" t="n">
        <v>45469.65163194444</v>
      </c>
      <c r="C4078" s="1" t="n">
        <v>46011</v>
      </c>
      <c r="D4078" t="inlineStr">
        <is>
          <t>VÄSTRA GÖTALANDS LÄN</t>
        </is>
      </c>
      <c r="E4078" t="inlineStr">
        <is>
          <t>SKARA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19871-2023</t>
        </is>
      </c>
      <c r="B4079" s="1" t="n">
        <v>45054.2469212963</v>
      </c>
      <c r="C4079" s="1" t="n">
        <v>46011</v>
      </c>
      <c r="D4079" t="inlineStr">
        <is>
          <t>VÄSTRA GÖTALANDS LÄN</t>
        </is>
      </c>
      <c r="E4079" t="inlineStr">
        <is>
          <t>SVENLJUNGA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24892-2025</t>
        </is>
      </c>
      <c r="B4080" s="1" t="n">
        <v>45799.51231481481</v>
      </c>
      <c r="C4080" s="1" t="n">
        <v>46011</v>
      </c>
      <c r="D4080" t="inlineStr">
        <is>
          <t>VÄSTRA GÖTALANDS LÄN</t>
        </is>
      </c>
      <c r="E4080" t="inlineStr">
        <is>
          <t>VÄNERSBORG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2858-2024</t>
        </is>
      </c>
      <c r="B4081" s="1" t="n">
        <v>45315.43131944445</v>
      </c>
      <c r="C4081" s="1" t="n">
        <v>46011</v>
      </c>
      <c r="D4081" t="inlineStr">
        <is>
          <t>VÄSTRA GÖTALANDS LÄN</t>
        </is>
      </c>
      <c r="E4081" t="inlineStr">
        <is>
          <t>SKÖVDE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13298-2023</t>
        </is>
      </c>
      <c r="B4082" s="1" t="n">
        <v>45005</v>
      </c>
      <c r="C4082" s="1" t="n">
        <v>46011</v>
      </c>
      <c r="D4082" t="inlineStr">
        <is>
          <t>VÄSTRA GÖTALANDS LÄN</t>
        </is>
      </c>
      <c r="E4082" t="inlineStr">
        <is>
          <t>HERRLJUNGA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29815-2024</t>
        </is>
      </c>
      <c r="B4083" s="1" t="n">
        <v>45485.54372685185</v>
      </c>
      <c r="C4083" s="1" t="n">
        <v>46011</v>
      </c>
      <c r="D4083" t="inlineStr">
        <is>
          <t>VÄSTRA GÖTALANDS LÄN</t>
        </is>
      </c>
      <c r="E4083" t="inlineStr">
        <is>
          <t>SVENLJUNGA</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29816-2024</t>
        </is>
      </c>
      <c r="B4084" s="1" t="n">
        <v>45485.54509259259</v>
      </c>
      <c r="C4084" s="1" t="n">
        <v>46011</v>
      </c>
      <c r="D4084" t="inlineStr">
        <is>
          <t>VÄSTRA GÖTALANDS LÄN</t>
        </is>
      </c>
      <c r="E4084" t="inlineStr">
        <is>
          <t>SVENLJUNGA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5690-2022</t>
        </is>
      </c>
      <c r="B4085" s="1" t="n">
        <v>44596.36332175926</v>
      </c>
      <c r="C4085" s="1" t="n">
        <v>46011</v>
      </c>
      <c r="D4085" t="inlineStr">
        <is>
          <t>VÄSTRA GÖTALANDS LÄN</t>
        </is>
      </c>
      <c r="E4085" t="inlineStr">
        <is>
          <t>BENGTSFORS</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37098-2023</t>
        </is>
      </c>
      <c r="B4086" s="1" t="n">
        <v>45155</v>
      </c>
      <c r="C4086" s="1" t="n">
        <v>46011</v>
      </c>
      <c r="D4086" t="inlineStr">
        <is>
          <t>VÄSTRA GÖTALANDS LÄN</t>
        </is>
      </c>
      <c r="E4086" t="inlineStr">
        <is>
          <t>LIDKÖPING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37106-2023</t>
        </is>
      </c>
      <c r="B4087" s="1" t="n">
        <v>45155</v>
      </c>
      <c r="C4087" s="1" t="n">
        <v>46011</v>
      </c>
      <c r="D4087" t="inlineStr">
        <is>
          <t>VÄSTRA GÖTALANDS LÄN</t>
        </is>
      </c>
      <c r="E4087" t="inlineStr">
        <is>
          <t>TANUM</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51635-2024</t>
        </is>
      </c>
      <c r="B4088" s="1" t="n">
        <v>45605.63666666667</v>
      </c>
      <c r="C4088" s="1" t="n">
        <v>46011</v>
      </c>
      <c r="D4088" t="inlineStr">
        <is>
          <t>VÄSTRA GÖTALANDS LÄN</t>
        </is>
      </c>
      <c r="E4088" t="inlineStr">
        <is>
          <t>ULRICEHAMN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51639-2024</t>
        </is>
      </c>
      <c r="B4089" s="1" t="n">
        <v>45605.73070601852</v>
      </c>
      <c r="C4089" s="1" t="n">
        <v>46011</v>
      </c>
      <c r="D4089" t="inlineStr">
        <is>
          <t>VÄSTRA GÖTALANDS LÄN</t>
        </is>
      </c>
      <c r="E4089" t="inlineStr">
        <is>
          <t>ULRICEHAMN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28409-2024</t>
        </is>
      </c>
      <c r="B4090" s="1" t="n">
        <v>45477.62280092593</v>
      </c>
      <c r="C4090" s="1" t="n">
        <v>46011</v>
      </c>
      <c r="D4090" t="inlineStr">
        <is>
          <t>VÄSTRA GÖTALANDS LÄN</t>
        </is>
      </c>
      <c r="E4090" t="inlineStr">
        <is>
          <t>SOTENÄS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18358-2021</t>
        </is>
      </c>
      <c r="B4091" s="1" t="n">
        <v>44305</v>
      </c>
      <c r="C4091" s="1" t="n">
        <v>46011</v>
      </c>
      <c r="D4091" t="inlineStr">
        <is>
          <t>VÄSTRA GÖTALANDS LÄN</t>
        </is>
      </c>
      <c r="E4091" t="inlineStr">
        <is>
          <t>HERRLJUNGA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20896-2023</t>
        </is>
      </c>
      <c r="B4092" s="1" t="n">
        <v>45059.70721064815</v>
      </c>
      <c r="C4092" s="1" t="n">
        <v>46011</v>
      </c>
      <c r="D4092" t="inlineStr">
        <is>
          <t>VÄSTRA GÖTALANDS LÄN</t>
        </is>
      </c>
      <c r="E4092" t="inlineStr">
        <is>
          <t>MARK</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20807-2025</t>
        </is>
      </c>
      <c r="B4093" s="1" t="n">
        <v>45776.65706018519</v>
      </c>
      <c r="C4093" s="1" t="n">
        <v>46011</v>
      </c>
      <c r="D4093" t="inlineStr">
        <is>
          <t>VÄSTRA GÖTALANDS LÄN</t>
        </is>
      </c>
      <c r="E4093" t="inlineStr">
        <is>
          <t>VÅRGÅRDA</t>
        </is>
      </c>
      <c r="F4093" t="inlineStr">
        <is>
          <t>Kommuner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10889-2025</t>
        </is>
      </c>
      <c r="B4094" s="1" t="n">
        <v>45722</v>
      </c>
      <c r="C4094" s="1" t="n">
        <v>46011</v>
      </c>
      <c r="D4094" t="inlineStr">
        <is>
          <t>VÄSTRA GÖTALANDS LÄN</t>
        </is>
      </c>
      <c r="E4094" t="inlineStr">
        <is>
          <t>TANUM</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62219-2022</t>
        </is>
      </c>
      <c r="B4095" s="1" t="n">
        <v>44922.66564814815</v>
      </c>
      <c r="C4095" s="1" t="n">
        <v>46011</v>
      </c>
      <c r="D4095" t="inlineStr">
        <is>
          <t>VÄSTRA GÖTALANDS LÄN</t>
        </is>
      </c>
      <c r="E4095" t="inlineStr">
        <is>
          <t>TIBRO</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25065-2025</t>
        </is>
      </c>
      <c r="B4096" s="1" t="n">
        <v>45799.70430555556</v>
      </c>
      <c r="C4096" s="1" t="n">
        <v>46011</v>
      </c>
      <c r="D4096" t="inlineStr">
        <is>
          <t>VÄSTRA GÖTALANDS LÄN</t>
        </is>
      </c>
      <c r="E4096" t="inlineStr">
        <is>
          <t>TIBRO</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65313-2021</t>
        </is>
      </c>
      <c r="B4097" s="1" t="n">
        <v>44515.62417824074</v>
      </c>
      <c r="C4097" s="1" t="n">
        <v>46011</v>
      </c>
      <c r="D4097" t="inlineStr">
        <is>
          <t>VÄSTRA GÖTALANDS LÄN</t>
        </is>
      </c>
      <c r="E4097" t="inlineStr">
        <is>
          <t>KARLSBORG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37647-2025</t>
        </is>
      </c>
      <c r="B4098" s="1" t="n">
        <v>45880</v>
      </c>
      <c r="C4098" s="1" t="n">
        <v>46011</v>
      </c>
      <c r="D4098" t="inlineStr">
        <is>
          <t>VÄSTRA GÖTALANDS LÄN</t>
        </is>
      </c>
      <c r="E4098" t="inlineStr">
        <is>
          <t>BENGTSFORS</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25406-2025</t>
        </is>
      </c>
      <c r="B4099" s="1" t="n">
        <v>45800.65958333333</v>
      </c>
      <c r="C4099" s="1" t="n">
        <v>46011</v>
      </c>
      <c r="D4099" t="inlineStr">
        <is>
          <t>VÄSTRA GÖTALANDS LÄN</t>
        </is>
      </c>
      <c r="E4099" t="inlineStr">
        <is>
          <t>MUNKEDAL</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41684-2023</t>
        </is>
      </c>
      <c r="B4100" s="1" t="n">
        <v>45176.35422453703</v>
      </c>
      <c r="C4100" s="1" t="n">
        <v>46011</v>
      </c>
      <c r="D4100" t="inlineStr">
        <is>
          <t>VÄSTRA GÖTALANDS LÄN</t>
        </is>
      </c>
      <c r="E4100" t="inlineStr">
        <is>
          <t>KARLSBORG</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25407-2025</t>
        </is>
      </c>
      <c r="B4101" s="1" t="n">
        <v>45800.6600925926</v>
      </c>
      <c r="C4101" s="1" t="n">
        <v>46011</v>
      </c>
      <c r="D4101" t="inlineStr">
        <is>
          <t>VÄSTRA GÖTALANDS LÄN</t>
        </is>
      </c>
      <c r="E4101" t="inlineStr">
        <is>
          <t>SKARA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10049-2023</t>
        </is>
      </c>
      <c r="B4102" s="1" t="n">
        <v>44985</v>
      </c>
      <c r="C4102" s="1" t="n">
        <v>46011</v>
      </c>
      <c r="D4102" t="inlineStr">
        <is>
          <t>VÄSTRA GÖTALANDS LÄN</t>
        </is>
      </c>
      <c r="E4102" t="inlineStr">
        <is>
          <t>FALKÖPING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24675-2023</t>
        </is>
      </c>
      <c r="B4103" s="1" t="n">
        <v>45084.49618055556</v>
      </c>
      <c r="C4103" s="1" t="n">
        <v>46011</v>
      </c>
      <c r="D4103" t="inlineStr">
        <is>
          <t>VÄSTRA GÖTALANDS LÄN</t>
        </is>
      </c>
      <c r="E4103" t="inlineStr">
        <is>
          <t>ULRICEHAMN</t>
        </is>
      </c>
      <c r="F4103" t="inlineStr">
        <is>
          <t>Sveaskog</t>
        </is>
      </c>
      <c r="G4103" t="n">
        <v>13.7</v>
      </c>
      <c r="H4103" t="n">
        <v>0</v>
      </c>
      <c r="I4103" t="n">
        <v>0</v>
      </c>
      <c r="J4103" t="n">
        <v>0</v>
      </c>
      <c r="K4103" t="n">
        <v>0</v>
      </c>
      <c r="L4103" t="n">
        <v>0</v>
      </c>
      <c r="M4103" t="n">
        <v>0</v>
      </c>
      <c r="N4103" t="n">
        <v>0</v>
      </c>
      <c r="O4103" t="n">
        <v>0</v>
      </c>
      <c r="P4103" t="n">
        <v>0</v>
      </c>
      <c r="Q4103" t="n">
        <v>0</v>
      </c>
      <c r="R4103" s="2" t="inlineStr"/>
    </row>
    <row r="4104" ht="15" customHeight="1">
      <c r="A4104" t="inlineStr">
        <is>
          <t>A 28953-2025</t>
        </is>
      </c>
      <c r="B4104" s="1" t="n">
        <v>45821.27439814815</v>
      </c>
      <c r="C4104" s="1" t="n">
        <v>46011</v>
      </c>
      <c r="D4104" t="inlineStr">
        <is>
          <t>VÄSTRA GÖTALANDS LÄN</t>
        </is>
      </c>
      <c r="E4104" t="inlineStr">
        <is>
          <t>MUNKEDAL</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2867-2025</t>
        </is>
      </c>
      <c r="B4105" s="1" t="n">
        <v>45677.67715277777</v>
      </c>
      <c r="C4105" s="1" t="n">
        <v>46011</v>
      </c>
      <c r="D4105" t="inlineStr">
        <is>
          <t>VÄSTRA GÖTALANDS LÄN</t>
        </is>
      </c>
      <c r="E4105" t="inlineStr">
        <is>
          <t>LILLA EDET</t>
        </is>
      </c>
      <c r="G4105" t="n">
        <v>10.7</v>
      </c>
      <c r="H4105" t="n">
        <v>0</v>
      </c>
      <c r="I4105" t="n">
        <v>0</v>
      </c>
      <c r="J4105" t="n">
        <v>0</v>
      </c>
      <c r="K4105" t="n">
        <v>0</v>
      </c>
      <c r="L4105" t="n">
        <v>0</v>
      </c>
      <c r="M4105" t="n">
        <v>0</v>
      </c>
      <c r="N4105" t="n">
        <v>0</v>
      </c>
      <c r="O4105" t="n">
        <v>0</v>
      </c>
      <c r="P4105" t="n">
        <v>0</v>
      </c>
      <c r="Q4105" t="n">
        <v>0</v>
      </c>
      <c r="R4105" s="2" t="inlineStr"/>
    </row>
    <row r="4106" ht="15" customHeight="1">
      <c r="A4106" t="inlineStr">
        <is>
          <t>A 68631-2021</t>
        </is>
      </c>
      <c r="B4106" s="1" t="n">
        <v>44529</v>
      </c>
      <c r="C4106" s="1" t="n">
        <v>46011</v>
      </c>
      <c r="D4106" t="inlineStr">
        <is>
          <t>VÄSTRA GÖTALANDS LÄN</t>
        </is>
      </c>
      <c r="E4106" t="inlineStr">
        <is>
          <t>TIDAHOLM</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68680-2021</t>
        </is>
      </c>
      <c r="B4107" s="1" t="n">
        <v>44529</v>
      </c>
      <c r="C4107" s="1" t="n">
        <v>46011</v>
      </c>
      <c r="D4107" t="inlineStr">
        <is>
          <t>VÄSTRA GÖTALANDS LÄN</t>
        </is>
      </c>
      <c r="E4107" t="inlineStr">
        <is>
          <t>GÖTENE</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2027-2022</t>
        </is>
      </c>
      <c r="B4108" s="1" t="n">
        <v>44575</v>
      </c>
      <c r="C4108" s="1" t="n">
        <v>46011</v>
      </c>
      <c r="D4108" t="inlineStr">
        <is>
          <t>VÄSTRA GÖTALANDS LÄN</t>
        </is>
      </c>
      <c r="E4108" t="inlineStr">
        <is>
          <t>ÅMÅL</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29946-2024</t>
        </is>
      </c>
      <c r="B4109" s="1" t="n">
        <v>45488.43512731481</v>
      </c>
      <c r="C4109" s="1" t="n">
        <v>46011</v>
      </c>
      <c r="D4109" t="inlineStr">
        <is>
          <t>VÄSTRA GÖTALANDS LÄN</t>
        </is>
      </c>
      <c r="E4109" t="inlineStr">
        <is>
          <t>MUNKEDAL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24788-2025</t>
        </is>
      </c>
      <c r="B4110" s="1" t="n">
        <v>45799.42884259259</v>
      </c>
      <c r="C4110" s="1" t="n">
        <v>46011</v>
      </c>
      <c r="D4110" t="inlineStr">
        <is>
          <t>VÄSTRA GÖTALANDS LÄN</t>
        </is>
      </c>
      <c r="E4110" t="inlineStr">
        <is>
          <t>DALS-ED</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24723-2025</t>
        </is>
      </c>
      <c r="B4111" s="1" t="n">
        <v>45799.31555555556</v>
      </c>
      <c r="C4111" s="1" t="n">
        <v>46011</v>
      </c>
      <c r="D4111" t="inlineStr">
        <is>
          <t>VÄSTRA GÖTALANDS LÄN</t>
        </is>
      </c>
      <c r="E4111" t="inlineStr">
        <is>
          <t>HJO</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24703-2025</t>
        </is>
      </c>
      <c r="B4112" s="1" t="n">
        <v>45798.78508101852</v>
      </c>
      <c r="C4112" s="1" t="n">
        <v>46011</v>
      </c>
      <c r="D4112" t="inlineStr">
        <is>
          <t>VÄSTRA GÖTALANDS LÄN</t>
        </is>
      </c>
      <c r="E4112" t="inlineStr">
        <is>
          <t>FALKÖPING</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29255-2025</t>
        </is>
      </c>
      <c r="B4113" s="1" t="n">
        <v>45824.38359953704</v>
      </c>
      <c r="C4113" s="1" t="n">
        <v>46011</v>
      </c>
      <c r="D4113" t="inlineStr">
        <is>
          <t>VÄSTRA GÖTALANDS LÄN</t>
        </is>
      </c>
      <c r="E4113" t="inlineStr">
        <is>
          <t>SKARA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8855-2023</t>
        </is>
      </c>
      <c r="B4114" s="1" t="n">
        <v>44978.88230324074</v>
      </c>
      <c r="C4114" s="1" t="n">
        <v>46011</v>
      </c>
      <c r="D4114" t="inlineStr">
        <is>
          <t>VÄSTRA GÖTALANDS LÄN</t>
        </is>
      </c>
      <c r="E4114" t="inlineStr">
        <is>
          <t>MARK</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28651-2025</t>
        </is>
      </c>
      <c r="B4115" s="1" t="n">
        <v>45819</v>
      </c>
      <c r="C4115" s="1" t="n">
        <v>46011</v>
      </c>
      <c r="D4115" t="inlineStr">
        <is>
          <t>VÄSTRA GÖTALANDS LÄN</t>
        </is>
      </c>
      <c r="E4115" t="inlineStr">
        <is>
          <t>TRANEMO</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25095-2025</t>
        </is>
      </c>
      <c r="B4116" s="1" t="n">
        <v>45800.33721064815</v>
      </c>
      <c r="C4116" s="1" t="n">
        <v>46011</v>
      </c>
      <c r="D4116" t="inlineStr">
        <is>
          <t>VÄSTRA GÖTALANDS LÄN</t>
        </is>
      </c>
      <c r="E4116" t="inlineStr">
        <is>
          <t>FÄRGELANDA</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9000-2023</t>
        </is>
      </c>
      <c r="B4117" s="1" t="n">
        <v>44979.5653125</v>
      </c>
      <c r="C4117" s="1" t="n">
        <v>46011</v>
      </c>
      <c r="D4117" t="inlineStr">
        <is>
          <t>VÄSTRA GÖTALANDS LÄN</t>
        </is>
      </c>
      <c r="E4117" t="inlineStr">
        <is>
          <t>VARA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26076-2025</t>
        </is>
      </c>
      <c r="B4118" s="1" t="n">
        <v>45805.3340625</v>
      </c>
      <c r="C4118" s="1" t="n">
        <v>46011</v>
      </c>
      <c r="D4118" t="inlineStr">
        <is>
          <t>VÄSTRA GÖTALANDS LÄN</t>
        </is>
      </c>
      <c r="E4118" t="inlineStr">
        <is>
          <t>MUNKEDAL</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25128-2025</t>
        </is>
      </c>
      <c r="B4119" s="1" t="n">
        <v>45800.37969907407</v>
      </c>
      <c r="C4119" s="1" t="n">
        <v>46011</v>
      </c>
      <c r="D4119" t="inlineStr">
        <is>
          <t>VÄSTRA GÖTALANDS LÄN</t>
        </is>
      </c>
      <c r="E4119" t="inlineStr">
        <is>
          <t>VARA</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39188-2025</t>
        </is>
      </c>
      <c r="B4120" s="1" t="n">
        <v>45888.67532407407</v>
      </c>
      <c r="C4120" s="1" t="n">
        <v>46011</v>
      </c>
      <c r="D4120" t="inlineStr">
        <is>
          <t>VÄSTRA GÖTALANDS LÄN</t>
        </is>
      </c>
      <c r="E4120" t="inlineStr">
        <is>
          <t>BOLLEBYGD</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16605-2023</t>
        </is>
      </c>
      <c r="B4121" s="1" t="n">
        <v>45030.39709490741</v>
      </c>
      <c r="C4121" s="1" t="n">
        <v>46011</v>
      </c>
      <c r="D4121" t="inlineStr">
        <is>
          <t>VÄSTRA GÖTALANDS LÄN</t>
        </is>
      </c>
      <c r="E4121" t="inlineStr">
        <is>
          <t>HERRLJUNGA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29771-2025</t>
        </is>
      </c>
      <c r="B4122" s="1" t="n">
        <v>45825.63069444444</v>
      </c>
      <c r="C4122" s="1" t="n">
        <v>46011</v>
      </c>
      <c r="D4122" t="inlineStr">
        <is>
          <t>VÄSTRA GÖTALANDS LÄN</t>
        </is>
      </c>
      <c r="E4122" t="inlineStr">
        <is>
          <t>BENGTSFORS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33099-2025</t>
        </is>
      </c>
      <c r="B4123" s="1" t="n">
        <v>45840.4775</v>
      </c>
      <c r="C4123" s="1" t="n">
        <v>46011</v>
      </c>
      <c r="D4123" t="inlineStr">
        <is>
          <t>VÄSTRA GÖTALANDS LÄN</t>
        </is>
      </c>
      <c r="E4123" t="inlineStr">
        <is>
          <t>VARA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6167-2024</t>
        </is>
      </c>
      <c r="B4124" s="1" t="n">
        <v>45337</v>
      </c>
      <c r="C4124" s="1" t="n">
        <v>46011</v>
      </c>
      <c r="D4124" t="inlineStr">
        <is>
          <t>VÄSTRA GÖTALANDS LÄN</t>
        </is>
      </c>
      <c r="E4124" t="inlineStr">
        <is>
          <t>VÄNERSBORG</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25374-2025</t>
        </is>
      </c>
      <c r="B4125" s="1" t="n">
        <v>45800.63570601852</v>
      </c>
      <c r="C4125" s="1" t="n">
        <v>46011</v>
      </c>
      <c r="D4125" t="inlineStr">
        <is>
          <t>VÄSTRA GÖTALANDS LÄN</t>
        </is>
      </c>
      <c r="E4125" t="inlineStr">
        <is>
          <t>GULLSPÅNG</t>
        </is>
      </c>
      <c r="F4125" t="inlineStr">
        <is>
          <t>Kyrkan</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61731-2024</t>
        </is>
      </c>
      <c r="B4126" s="1" t="n">
        <v>45649.34305555555</v>
      </c>
      <c r="C4126" s="1" t="n">
        <v>46011</v>
      </c>
      <c r="D4126" t="inlineStr">
        <is>
          <t>VÄSTRA GÖTALANDS LÄN</t>
        </is>
      </c>
      <c r="E4126" t="inlineStr">
        <is>
          <t>VÄNERSBORG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4541-2025</t>
        </is>
      </c>
      <c r="B4127" s="1" t="n">
        <v>45687.39320601852</v>
      </c>
      <c r="C4127" s="1" t="n">
        <v>46011</v>
      </c>
      <c r="D4127" t="inlineStr">
        <is>
          <t>VÄSTRA GÖTALANDS LÄN</t>
        </is>
      </c>
      <c r="E4127" t="inlineStr">
        <is>
          <t>SKARA</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25395-2025</t>
        </is>
      </c>
      <c r="B4128" s="1" t="n">
        <v>45800.64942129629</v>
      </c>
      <c r="C4128" s="1" t="n">
        <v>46011</v>
      </c>
      <c r="D4128" t="inlineStr">
        <is>
          <t>VÄSTRA GÖTALANDS LÄN</t>
        </is>
      </c>
      <c r="E4128" t="inlineStr">
        <is>
          <t>LYSEKIL</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39073-2025</t>
        </is>
      </c>
      <c r="B4129" s="1" t="n">
        <v>45888</v>
      </c>
      <c r="C4129" s="1" t="n">
        <v>46011</v>
      </c>
      <c r="D4129" t="inlineStr">
        <is>
          <t>VÄSTRA GÖTALANDS LÄN</t>
        </is>
      </c>
      <c r="E4129" t="inlineStr">
        <is>
          <t>SKÖVDE</t>
        </is>
      </c>
      <c r="F4129" t="inlineStr">
        <is>
          <t>Kyrkan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19963-2024</t>
        </is>
      </c>
      <c r="B4130" s="1" t="n">
        <v>45433.67465277778</v>
      </c>
      <c r="C4130" s="1" t="n">
        <v>46011</v>
      </c>
      <c r="D4130" t="inlineStr">
        <is>
          <t>VÄSTRA GÖTALANDS LÄN</t>
        </is>
      </c>
      <c r="E4130" t="inlineStr">
        <is>
          <t>TANUM</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8895-2023</t>
        </is>
      </c>
      <c r="B4131" s="1" t="n">
        <v>44979</v>
      </c>
      <c r="C4131" s="1" t="n">
        <v>46011</v>
      </c>
      <c r="D4131" t="inlineStr">
        <is>
          <t>VÄSTRA GÖTALANDS LÄN</t>
        </is>
      </c>
      <c r="E4131" t="inlineStr">
        <is>
          <t>VÅRGÅRDA</t>
        </is>
      </c>
      <c r="F4131" t="inlineStr">
        <is>
          <t>Sveaskog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24901-2025</t>
        </is>
      </c>
      <c r="B4132" s="1" t="n">
        <v>45799.52417824074</v>
      </c>
      <c r="C4132" s="1" t="n">
        <v>46011</v>
      </c>
      <c r="D4132" t="inlineStr">
        <is>
          <t>VÄSTRA GÖTALANDS LÄN</t>
        </is>
      </c>
      <c r="E4132" t="inlineStr">
        <is>
          <t>ULRICEHAMN</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55777-2022</t>
        </is>
      </c>
      <c r="B4133" s="1" t="n">
        <v>44888.61921296296</v>
      </c>
      <c r="C4133" s="1" t="n">
        <v>46011</v>
      </c>
      <c r="D4133" t="inlineStr">
        <is>
          <t>VÄSTRA GÖTALANDS LÄN</t>
        </is>
      </c>
      <c r="E4133" t="inlineStr">
        <is>
          <t>ORUST</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38810-2025</t>
        </is>
      </c>
      <c r="B4134" s="1" t="n">
        <v>45887.47719907408</v>
      </c>
      <c r="C4134" s="1" t="n">
        <v>46011</v>
      </c>
      <c r="D4134" t="inlineStr">
        <is>
          <t>VÄSTRA GÖTALANDS LÄN</t>
        </is>
      </c>
      <c r="E4134" t="inlineStr">
        <is>
          <t>DALS-ED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9471-2023</t>
        </is>
      </c>
      <c r="B4135" s="1" t="n">
        <v>44981</v>
      </c>
      <c r="C4135" s="1" t="n">
        <v>46011</v>
      </c>
      <c r="D4135" t="inlineStr">
        <is>
          <t>VÄSTRA GÖTALANDS LÄN</t>
        </is>
      </c>
      <c r="E4135" t="inlineStr">
        <is>
          <t>SVENLJUNGA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38888-2025</t>
        </is>
      </c>
      <c r="B4136" s="1" t="n">
        <v>45887.58603009259</v>
      </c>
      <c r="C4136" s="1" t="n">
        <v>46011</v>
      </c>
      <c r="D4136" t="inlineStr">
        <is>
          <t>VÄSTRA GÖTALANDS LÄN</t>
        </is>
      </c>
      <c r="E4136" t="inlineStr">
        <is>
          <t>MELLERUD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24897-2025</t>
        </is>
      </c>
      <c r="B4137" s="1" t="n">
        <v>45799.51752314815</v>
      </c>
      <c r="C4137" s="1" t="n">
        <v>46011</v>
      </c>
      <c r="D4137" t="inlineStr">
        <is>
          <t>VÄSTRA GÖTALANDS LÄN</t>
        </is>
      </c>
      <c r="E4137" t="inlineStr">
        <is>
          <t>VÄNERSBORG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38915-2025</t>
        </is>
      </c>
      <c r="B4138" s="1" t="n">
        <v>45887.62195601852</v>
      </c>
      <c r="C4138" s="1" t="n">
        <v>46011</v>
      </c>
      <c r="D4138" t="inlineStr">
        <is>
          <t>VÄSTRA GÖTALANDS LÄN</t>
        </is>
      </c>
      <c r="E4138" t="inlineStr">
        <is>
          <t>MARIESTAD</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29327-2024</t>
        </is>
      </c>
      <c r="B4139" s="1" t="n">
        <v>45483.43834490741</v>
      </c>
      <c r="C4139" s="1" t="n">
        <v>46011</v>
      </c>
      <c r="D4139" t="inlineStr">
        <is>
          <t>VÄSTRA GÖTALANDS LÄN</t>
        </is>
      </c>
      <c r="E4139" t="inlineStr">
        <is>
          <t>STRÖMSTAD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9746-2023</t>
        </is>
      </c>
      <c r="B4140" s="1" t="n">
        <v>44984</v>
      </c>
      <c r="C4140" s="1" t="n">
        <v>46011</v>
      </c>
      <c r="D4140" t="inlineStr">
        <is>
          <t>VÄSTRA GÖTALANDS LÄN</t>
        </is>
      </c>
      <c r="E4140" t="inlineStr">
        <is>
          <t>MUNKEDAL</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9748-2023</t>
        </is>
      </c>
      <c r="B4141" s="1" t="n">
        <v>44984</v>
      </c>
      <c r="C4141" s="1" t="n">
        <v>46011</v>
      </c>
      <c r="D4141" t="inlineStr">
        <is>
          <t>VÄSTRA GÖTALANDS LÄN</t>
        </is>
      </c>
      <c r="E4141" t="inlineStr">
        <is>
          <t>MUNKEDAL</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39219-2025</t>
        </is>
      </c>
      <c r="B4142" s="1" t="n">
        <v>45888</v>
      </c>
      <c r="C4142" s="1" t="n">
        <v>46011</v>
      </c>
      <c r="D4142" t="inlineStr">
        <is>
          <t>VÄSTRA GÖTALANDS LÄN</t>
        </is>
      </c>
      <c r="E4142" t="inlineStr">
        <is>
          <t>ORUST</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15610-2025</t>
        </is>
      </c>
      <c r="B4143" s="1" t="n">
        <v>45748.34873842593</v>
      </c>
      <c r="C4143" s="1" t="n">
        <v>46011</v>
      </c>
      <c r="D4143" t="inlineStr">
        <is>
          <t>VÄSTRA GÖTALANDS LÄN</t>
        </is>
      </c>
      <c r="E4143" t="inlineStr">
        <is>
          <t>MARIESTAD</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53692-2024</t>
        </is>
      </c>
      <c r="B4144" s="1" t="n">
        <v>45615.37414351852</v>
      </c>
      <c r="C4144" s="1" t="n">
        <v>46011</v>
      </c>
      <c r="D4144" t="inlineStr">
        <is>
          <t>VÄSTRA GÖTALANDS LÄN</t>
        </is>
      </c>
      <c r="E4144" t="inlineStr">
        <is>
          <t>TRANEMO</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25326-2025</t>
        </is>
      </c>
      <c r="B4145" s="1" t="n">
        <v>45800</v>
      </c>
      <c r="C4145" s="1" t="n">
        <v>46011</v>
      </c>
      <c r="D4145" t="inlineStr">
        <is>
          <t>VÄSTRA GÖTALANDS LÄN</t>
        </is>
      </c>
      <c r="E4145" t="inlineStr">
        <is>
          <t>VÅRGÅRDA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19002-2023</t>
        </is>
      </c>
      <c r="B4146" s="1" t="n">
        <v>45045</v>
      </c>
      <c r="C4146" s="1" t="n">
        <v>46011</v>
      </c>
      <c r="D4146" t="inlineStr">
        <is>
          <t>VÄSTRA GÖTALANDS LÄN</t>
        </is>
      </c>
      <c r="E4146" t="inlineStr">
        <is>
          <t>ÅMÅL</t>
        </is>
      </c>
      <c r="G4146" t="n">
        <v>11.3</v>
      </c>
      <c r="H4146" t="n">
        <v>0</v>
      </c>
      <c r="I4146" t="n">
        <v>0</v>
      </c>
      <c r="J4146" t="n">
        <v>0</v>
      </c>
      <c r="K4146" t="n">
        <v>0</v>
      </c>
      <c r="L4146" t="n">
        <v>0</v>
      </c>
      <c r="M4146" t="n">
        <v>0</v>
      </c>
      <c r="N4146" t="n">
        <v>0</v>
      </c>
      <c r="O4146" t="n">
        <v>0</v>
      </c>
      <c r="P4146" t="n">
        <v>0</v>
      </c>
      <c r="Q4146" t="n">
        <v>0</v>
      </c>
      <c r="R4146" s="2" t="inlineStr"/>
    </row>
    <row r="4147" ht="15" customHeight="1">
      <c r="A4147" t="inlineStr">
        <is>
          <t>A 21902-2025</t>
        </is>
      </c>
      <c r="B4147" s="1" t="n">
        <v>45784.45983796296</v>
      </c>
      <c r="C4147" s="1" t="n">
        <v>46011</v>
      </c>
      <c r="D4147" t="inlineStr">
        <is>
          <t>VÄSTRA GÖTALANDS LÄN</t>
        </is>
      </c>
      <c r="E4147" t="inlineStr">
        <is>
          <t>BORÅS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38947-2025</t>
        </is>
      </c>
      <c r="B4148" s="1" t="n">
        <v>45887.65528935185</v>
      </c>
      <c r="C4148" s="1" t="n">
        <v>46011</v>
      </c>
      <c r="D4148" t="inlineStr">
        <is>
          <t>VÄSTRA GÖTALANDS LÄN</t>
        </is>
      </c>
      <c r="E4148" t="inlineStr">
        <is>
          <t>MARIESTAD</t>
        </is>
      </c>
      <c r="F4148" t="inlineStr">
        <is>
          <t>Sveaskog</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38970-2025</t>
        </is>
      </c>
      <c r="B4149" s="1" t="n">
        <v>45887.71134259259</v>
      </c>
      <c r="C4149" s="1" t="n">
        <v>46011</v>
      </c>
      <c r="D4149" t="inlineStr">
        <is>
          <t>VÄSTRA GÖTALANDS LÄN</t>
        </is>
      </c>
      <c r="E4149" t="inlineStr">
        <is>
          <t>ALINGSÅS</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11143-2025</t>
        </is>
      </c>
      <c r="B4150" s="1" t="n">
        <v>45723.67199074074</v>
      </c>
      <c r="C4150" s="1" t="n">
        <v>46011</v>
      </c>
      <c r="D4150" t="inlineStr">
        <is>
          <t>VÄSTRA GÖTALANDS LÄN</t>
        </is>
      </c>
      <c r="E4150" t="inlineStr">
        <is>
          <t>MUNKEDAL</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24832-2025</t>
        </is>
      </c>
      <c r="B4151" s="1" t="n">
        <v>45799.4587962963</v>
      </c>
      <c r="C4151" s="1" t="n">
        <v>46011</v>
      </c>
      <c r="D4151" t="inlineStr">
        <is>
          <t>VÄSTRA GÖTALANDS LÄN</t>
        </is>
      </c>
      <c r="E4151" t="inlineStr">
        <is>
          <t>VÄNERSBORG</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25639-2025</t>
        </is>
      </c>
      <c r="B4152" s="1" t="n">
        <v>45800</v>
      </c>
      <c r="C4152" s="1" t="n">
        <v>46011</v>
      </c>
      <c r="D4152" t="inlineStr">
        <is>
          <t>VÄSTRA GÖTALANDS LÄN</t>
        </is>
      </c>
      <c r="E4152" t="inlineStr">
        <is>
          <t>SKÖVDE</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49293-2024</t>
        </is>
      </c>
      <c r="B4153" s="1" t="n">
        <v>45595.53736111111</v>
      </c>
      <c r="C4153" s="1" t="n">
        <v>46011</v>
      </c>
      <c r="D4153" t="inlineStr">
        <is>
          <t>VÄSTRA GÖTALANDS LÄN</t>
        </is>
      </c>
      <c r="E4153" t="inlineStr">
        <is>
          <t>HERRLJUNGA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2263-2025</t>
        </is>
      </c>
      <c r="B4154" s="1" t="n">
        <v>45673.52425925926</v>
      </c>
      <c r="C4154" s="1" t="n">
        <v>46011</v>
      </c>
      <c r="D4154" t="inlineStr">
        <is>
          <t>VÄSTRA GÖTALANDS LÄN</t>
        </is>
      </c>
      <c r="E4154" t="inlineStr">
        <is>
          <t>GRÄSTORP</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38799-2025</t>
        </is>
      </c>
      <c r="B4155" s="1" t="n">
        <v>45887.45842592593</v>
      </c>
      <c r="C4155" s="1" t="n">
        <v>46011</v>
      </c>
      <c r="D4155" t="inlineStr">
        <is>
          <t>VÄSTRA GÖTALANDS LÄN</t>
        </is>
      </c>
      <c r="E4155" t="inlineStr">
        <is>
          <t>ESSUNGA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25066-2025</t>
        </is>
      </c>
      <c r="B4156" s="1" t="n">
        <v>45799.70711805556</v>
      </c>
      <c r="C4156" s="1" t="n">
        <v>46011</v>
      </c>
      <c r="D4156" t="inlineStr">
        <is>
          <t>VÄSTRA GÖTALANDS LÄN</t>
        </is>
      </c>
      <c r="E4156" t="inlineStr">
        <is>
          <t>SVENLJUNGA</t>
        </is>
      </c>
      <c r="F4156" t="inlineStr">
        <is>
          <t>Kyrkan</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29023-2024</t>
        </is>
      </c>
      <c r="B4157" s="1" t="n">
        <v>45481.5821875</v>
      </c>
      <c r="C4157" s="1" t="n">
        <v>46011</v>
      </c>
      <c r="D4157" t="inlineStr">
        <is>
          <t>VÄSTRA GÖTALANDS LÄN</t>
        </is>
      </c>
      <c r="E4157" t="inlineStr">
        <is>
          <t>TÖREBODA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25003-2025</t>
        </is>
      </c>
      <c r="B4158" s="1" t="n">
        <v>45799.62331018518</v>
      </c>
      <c r="C4158" s="1" t="n">
        <v>46011</v>
      </c>
      <c r="D4158" t="inlineStr">
        <is>
          <t>VÄSTRA GÖTALANDS LÄN</t>
        </is>
      </c>
      <c r="E4158" t="inlineStr">
        <is>
          <t>SKÖVDE</t>
        </is>
      </c>
      <c r="F4158" t="inlineStr">
        <is>
          <t>Kommuner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5108-2025</t>
        </is>
      </c>
      <c r="B4159" s="1" t="n">
        <v>45691.55012731482</v>
      </c>
      <c r="C4159" s="1" t="n">
        <v>46011</v>
      </c>
      <c r="D4159" t="inlineStr">
        <is>
          <t>VÄSTRA GÖTALANDS LÄN</t>
        </is>
      </c>
      <c r="E4159" t="inlineStr">
        <is>
          <t>BENGTSFORS</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27876-2024</t>
        </is>
      </c>
      <c r="B4160" s="1" t="n">
        <v>45475.72972222222</v>
      </c>
      <c r="C4160" s="1" t="n">
        <v>46011</v>
      </c>
      <c r="D4160" t="inlineStr">
        <is>
          <t>VÄSTRA GÖTALANDS LÄN</t>
        </is>
      </c>
      <c r="E4160" t="inlineStr">
        <is>
          <t>DALS-ED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38977-2025</t>
        </is>
      </c>
      <c r="B4161" s="1" t="n">
        <v>45887.78379629629</v>
      </c>
      <c r="C4161" s="1" t="n">
        <v>46011</v>
      </c>
      <c r="D4161" t="inlineStr">
        <is>
          <t>VÄSTRA GÖTALANDS LÄN</t>
        </is>
      </c>
      <c r="E4161" t="inlineStr">
        <is>
          <t>MUNKEDAL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38996-2025</t>
        </is>
      </c>
      <c r="B4162" s="1" t="n">
        <v>45888.33400462963</v>
      </c>
      <c r="C4162" s="1" t="n">
        <v>46011</v>
      </c>
      <c r="D4162" t="inlineStr">
        <is>
          <t>VÄSTRA GÖTALANDS LÄN</t>
        </is>
      </c>
      <c r="E4162" t="inlineStr">
        <is>
          <t>STENUNGSUND</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25747-2025</t>
        </is>
      </c>
      <c r="B4163" s="1" t="n">
        <v>45800</v>
      </c>
      <c r="C4163" s="1" t="n">
        <v>46011</v>
      </c>
      <c r="D4163" t="inlineStr">
        <is>
          <t>VÄSTRA GÖTALANDS LÄN</t>
        </is>
      </c>
      <c r="E4163" t="inlineStr">
        <is>
          <t>MELLERUD</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25748-2025</t>
        </is>
      </c>
      <c r="B4164" s="1" t="n">
        <v>45800</v>
      </c>
      <c r="C4164" s="1" t="n">
        <v>46011</v>
      </c>
      <c r="D4164" t="inlineStr">
        <is>
          <t>VÄSTRA GÖTALANDS LÄN</t>
        </is>
      </c>
      <c r="E4164" t="inlineStr">
        <is>
          <t>ÅMÅL</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27877-2024</t>
        </is>
      </c>
      <c r="B4165" s="1" t="n">
        <v>45475.73616898148</v>
      </c>
      <c r="C4165" s="1" t="n">
        <v>46011</v>
      </c>
      <c r="D4165" t="inlineStr">
        <is>
          <t>VÄSTRA GÖTALANDS LÄN</t>
        </is>
      </c>
      <c r="E4165" t="inlineStr">
        <is>
          <t>DALS-ED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22729-2021</t>
        </is>
      </c>
      <c r="B4166" s="1" t="n">
        <v>44323</v>
      </c>
      <c r="C4166" s="1" t="n">
        <v>46011</v>
      </c>
      <c r="D4166" t="inlineStr">
        <is>
          <t>VÄSTRA GÖTALANDS LÄN</t>
        </is>
      </c>
      <c r="E4166" t="inlineStr">
        <is>
          <t>TRANEMO</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38967-2025</t>
        </is>
      </c>
      <c r="B4167" s="1" t="n">
        <v>45886</v>
      </c>
      <c r="C4167" s="1" t="n">
        <v>46011</v>
      </c>
      <c r="D4167" t="inlineStr">
        <is>
          <t>VÄSTRA GÖTALANDS LÄN</t>
        </is>
      </c>
      <c r="E4167" t="inlineStr">
        <is>
          <t>BENGTSFORS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57185-2022</t>
        </is>
      </c>
      <c r="B4168" s="1" t="n">
        <v>44895</v>
      </c>
      <c r="C4168" s="1" t="n">
        <v>46011</v>
      </c>
      <c r="D4168" t="inlineStr">
        <is>
          <t>VÄSTRA GÖTALANDS LÄN</t>
        </is>
      </c>
      <c r="E4168" t="inlineStr">
        <is>
          <t>SVENLJUNGA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47357-2022</t>
        </is>
      </c>
      <c r="B4169" s="1" t="n">
        <v>44853.42767361111</v>
      </c>
      <c r="C4169" s="1" t="n">
        <v>46011</v>
      </c>
      <c r="D4169" t="inlineStr">
        <is>
          <t>VÄSTRA GÖTALANDS LÄN</t>
        </is>
      </c>
      <c r="E4169" t="inlineStr">
        <is>
          <t>TRANEMO</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15965-2025</t>
        </is>
      </c>
      <c r="B4170" s="1" t="n">
        <v>45749.54219907407</v>
      </c>
      <c r="C4170" s="1" t="n">
        <v>46011</v>
      </c>
      <c r="D4170" t="inlineStr">
        <is>
          <t>VÄSTRA GÖTALANDS LÄN</t>
        </is>
      </c>
      <c r="E4170" t="inlineStr">
        <is>
          <t>BORÅS</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25093-2025</t>
        </is>
      </c>
      <c r="B4171" s="1" t="n">
        <v>45800.33357638889</v>
      </c>
      <c r="C4171" s="1" t="n">
        <v>46011</v>
      </c>
      <c r="D4171" t="inlineStr">
        <is>
          <t>VÄSTRA GÖTALANDS LÄN</t>
        </is>
      </c>
      <c r="E4171" t="inlineStr">
        <is>
          <t>SKÖVDE</t>
        </is>
      </c>
      <c r="F4171" t="inlineStr">
        <is>
          <t>Kommuner</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1322-2023</t>
        </is>
      </c>
      <c r="B4172" s="1" t="n">
        <v>44936.55232638889</v>
      </c>
      <c r="C4172" s="1" t="n">
        <v>46011</v>
      </c>
      <c r="D4172" t="inlineStr">
        <is>
          <t>VÄSTRA GÖTALANDS LÄN</t>
        </is>
      </c>
      <c r="E4172" t="inlineStr">
        <is>
          <t>MARK</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1352-2023</t>
        </is>
      </c>
      <c r="B4173" s="1" t="n">
        <v>44931</v>
      </c>
      <c r="C4173" s="1" t="n">
        <v>46011</v>
      </c>
      <c r="D4173" t="inlineStr">
        <is>
          <t>VÄSTRA GÖTALANDS LÄN</t>
        </is>
      </c>
      <c r="E4173" t="inlineStr">
        <is>
          <t>GÖTENE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24751-2025</t>
        </is>
      </c>
      <c r="B4174" s="1" t="n">
        <v>45799.35922453704</v>
      </c>
      <c r="C4174" s="1" t="n">
        <v>46011</v>
      </c>
      <c r="D4174" t="inlineStr">
        <is>
          <t>VÄSTRA GÖTALANDS LÄN</t>
        </is>
      </c>
      <c r="E4174" t="inlineStr">
        <is>
          <t>FÄRGELANDA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25063-2025</t>
        </is>
      </c>
      <c r="B4175" s="1" t="n">
        <v>45799.70287037037</v>
      </c>
      <c r="C4175" s="1" t="n">
        <v>46011</v>
      </c>
      <c r="D4175" t="inlineStr">
        <is>
          <t>VÄSTRA GÖTALANDS LÄN</t>
        </is>
      </c>
      <c r="E4175" t="inlineStr">
        <is>
          <t>TIBRO</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42362-2023</t>
        </is>
      </c>
      <c r="B4176" s="1" t="n">
        <v>45180.54508101852</v>
      </c>
      <c r="C4176" s="1" t="n">
        <v>46011</v>
      </c>
      <c r="D4176" t="inlineStr">
        <is>
          <t>VÄSTRA GÖTALANDS LÄN</t>
        </is>
      </c>
      <c r="E4176" t="inlineStr">
        <is>
          <t>SVENLJUNGA</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9090-2024</t>
        </is>
      </c>
      <c r="B4177" s="1" t="n">
        <v>45357.90923611111</v>
      </c>
      <c r="C4177" s="1" t="n">
        <v>46011</v>
      </c>
      <c r="D4177" t="inlineStr">
        <is>
          <t>VÄSTRA GÖTALANDS LÄN</t>
        </is>
      </c>
      <c r="E4177" t="inlineStr">
        <is>
          <t>VÅRGÅRDA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25089-2025</t>
        </is>
      </c>
      <c r="B4178" s="1" t="n">
        <v>45800.31393518519</v>
      </c>
      <c r="C4178" s="1" t="n">
        <v>46011</v>
      </c>
      <c r="D4178" t="inlineStr">
        <is>
          <t>VÄSTRA GÖTALANDS LÄN</t>
        </is>
      </c>
      <c r="E4178" t="inlineStr">
        <is>
          <t>BOLLEBYGD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6243-2024</t>
        </is>
      </c>
      <c r="B4179" s="1" t="n">
        <v>45337.69141203703</v>
      </c>
      <c r="C4179" s="1" t="n">
        <v>46011</v>
      </c>
      <c r="D4179" t="inlineStr">
        <is>
          <t>VÄSTRA GÖTALANDS LÄN</t>
        </is>
      </c>
      <c r="E4179" t="inlineStr">
        <is>
          <t>MELLERUD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9099-2024</t>
        </is>
      </c>
      <c r="B4180" s="1" t="n">
        <v>45357</v>
      </c>
      <c r="C4180" s="1" t="n">
        <v>46011</v>
      </c>
      <c r="D4180" t="inlineStr">
        <is>
          <t>VÄSTRA GÖTALANDS LÄN</t>
        </is>
      </c>
      <c r="E4180" t="inlineStr">
        <is>
          <t>BENGTSFORS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22960-2025</t>
        </is>
      </c>
      <c r="B4181" s="1" t="n">
        <v>45790.53807870371</v>
      </c>
      <c r="C4181" s="1" t="n">
        <v>46011</v>
      </c>
      <c r="D4181" t="inlineStr">
        <is>
          <t>VÄSTRA GÖTALANDS LÄN</t>
        </is>
      </c>
      <c r="E4181" t="inlineStr">
        <is>
          <t>KARLSBORG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51905-2022</t>
        </is>
      </c>
      <c r="B4182" s="1" t="n">
        <v>44872</v>
      </c>
      <c r="C4182" s="1" t="n">
        <v>46011</v>
      </c>
      <c r="D4182" t="inlineStr">
        <is>
          <t>VÄSTRA GÖTALANDS LÄN</t>
        </is>
      </c>
      <c r="E4182" t="inlineStr">
        <is>
          <t>SVENLJUNGA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39887-2022</t>
        </is>
      </c>
      <c r="B4183" s="1" t="n">
        <v>44819.64585648148</v>
      </c>
      <c r="C4183" s="1" t="n">
        <v>46011</v>
      </c>
      <c r="D4183" t="inlineStr">
        <is>
          <t>VÄSTRA GÖTALANDS LÄN</t>
        </is>
      </c>
      <c r="E4183" t="inlineStr">
        <is>
          <t>GULLSPÅNG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33293-2025</t>
        </is>
      </c>
      <c r="B4184" s="1" t="n">
        <v>45840.89650462963</v>
      </c>
      <c r="C4184" s="1" t="n">
        <v>46011</v>
      </c>
      <c r="D4184" t="inlineStr">
        <is>
          <t>VÄSTRA GÖTALANDS LÄN</t>
        </is>
      </c>
      <c r="E4184" t="inlineStr">
        <is>
          <t>UDDEVALLA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40223-2021</t>
        </is>
      </c>
      <c r="B4185" s="1" t="n">
        <v>44419</v>
      </c>
      <c r="C4185" s="1" t="n">
        <v>46011</v>
      </c>
      <c r="D4185" t="inlineStr">
        <is>
          <t>VÄSTRA GÖTALANDS LÄN</t>
        </is>
      </c>
      <c r="E4185" t="inlineStr">
        <is>
          <t>VÄNERSBORG</t>
        </is>
      </c>
      <c r="F4185" t="inlineStr">
        <is>
          <t>Sveaskog</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40226-2021</t>
        </is>
      </c>
      <c r="B4186" s="1" t="n">
        <v>44419</v>
      </c>
      <c r="C4186" s="1" t="n">
        <v>46011</v>
      </c>
      <c r="D4186" t="inlineStr">
        <is>
          <t>VÄSTRA GÖTALANDS LÄN</t>
        </is>
      </c>
      <c r="E4186" t="inlineStr">
        <is>
          <t>VÄNERSBORG</t>
        </is>
      </c>
      <c r="F4186" t="inlineStr">
        <is>
          <t>Sveaskog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38745-2025</t>
        </is>
      </c>
      <c r="B4187" s="1" t="n">
        <v>45887.37974537037</v>
      </c>
      <c r="C4187" s="1" t="n">
        <v>46011</v>
      </c>
      <c r="D4187" t="inlineStr">
        <is>
          <t>VÄSTRA GÖTALANDS LÄN</t>
        </is>
      </c>
      <c r="E4187" t="inlineStr">
        <is>
          <t>TRANEMO</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38753-2025</t>
        </is>
      </c>
      <c r="B4188" s="1" t="n">
        <v>45887.39331018519</v>
      </c>
      <c r="C4188" s="1" t="n">
        <v>46011</v>
      </c>
      <c r="D4188" t="inlineStr">
        <is>
          <t>VÄSTRA GÖTALANDS LÄN</t>
        </is>
      </c>
      <c r="E4188" t="inlineStr">
        <is>
          <t>BORÅS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25002-2025</t>
        </is>
      </c>
      <c r="B4189" s="1" t="n">
        <v>45799.62091435185</v>
      </c>
      <c r="C4189" s="1" t="n">
        <v>46011</v>
      </c>
      <c r="D4189" t="inlineStr">
        <is>
          <t>VÄSTRA GÖTALANDS LÄN</t>
        </is>
      </c>
      <c r="E4189" t="inlineStr">
        <is>
          <t>UDDEVALLA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32299-2024</t>
        </is>
      </c>
      <c r="B4190" s="1" t="n">
        <v>45512.44171296297</v>
      </c>
      <c r="C4190" s="1" t="n">
        <v>46011</v>
      </c>
      <c r="D4190" t="inlineStr">
        <is>
          <t>VÄSTRA GÖTALANDS LÄN</t>
        </is>
      </c>
      <c r="E4190" t="inlineStr">
        <is>
          <t>MELLERUD</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13703-2025</t>
        </is>
      </c>
      <c r="B4191" s="1" t="n">
        <v>45737.33689814815</v>
      </c>
      <c r="C4191" s="1" t="n">
        <v>46011</v>
      </c>
      <c r="D4191" t="inlineStr">
        <is>
          <t>VÄSTRA GÖTALANDS LÄN</t>
        </is>
      </c>
      <c r="E4191" t="inlineStr">
        <is>
          <t>DALS-ED</t>
        </is>
      </c>
      <c r="F4191" t="inlineStr">
        <is>
          <t>Övriga Aktiebolag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27489-2024</t>
        </is>
      </c>
      <c r="B4192" s="1" t="n">
        <v>45474.48517361111</v>
      </c>
      <c r="C4192" s="1" t="n">
        <v>46011</v>
      </c>
      <c r="D4192" t="inlineStr">
        <is>
          <t>VÄSTRA GÖTALANDS LÄN</t>
        </is>
      </c>
      <c r="E4192" t="inlineStr">
        <is>
          <t>SVENLJUNGA</t>
        </is>
      </c>
      <c r="F4192" t="inlineStr">
        <is>
          <t>Kommuner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39160-2025</t>
        </is>
      </c>
      <c r="B4193" s="1" t="n">
        <v>45888.63064814815</v>
      </c>
      <c r="C4193" s="1" t="n">
        <v>46011</v>
      </c>
      <c r="D4193" t="inlineStr">
        <is>
          <t>VÄSTRA GÖTALANDS LÄN</t>
        </is>
      </c>
      <c r="E4193" t="inlineStr">
        <is>
          <t>MARK</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25338-2025</t>
        </is>
      </c>
      <c r="B4194" s="1" t="n">
        <v>45800.59861111111</v>
      </c>
      <c r="C4194" s="1" t="n">
        <v>46011</v>
      </c>
      <c r="D4194" t="inlineStr">
        <is>
          <t>VÄSTRA GÖTALANDS LÄN</t>
        </is>
      </c>
      <c r="E4194" t="inlineStr">
        <is>
          <t>BORÅS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37157-2024</t>
        </is>
      </c>
      <c r="B4195" s="1" t="n">
        <v>45539.61159722223</v>
      </c>
      <c r="C4195" s="1" t="n">
        <v>46011</v>
      </c>
      <c r="D4195" t="inlineStr">
        <is>
          <t>VÄSTRA GÖTALANDS LÄN</t>
        </is>
      </c>
      <c r="E4195" t="inlineStr">
        <is>
          <t>UDDEVALLA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39122-2025</t>
        </is>
      </c>
      <c r="B4196" s="1" t="n">
        <v>45888.57143518519</v>
      </c>
      <c r="C4196" s="1" t="n">
        <v>46011</v>
      </c>
      <c r="D4196" t="inlineStr">
        <is>
          <t>VÄSTRA GÖTALANDS LÄN</t>
        </is>
      </c>
      <c r="E4196" t="inlineStr">
        <is>
          <t>MARK</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25957-2025</t>
        </is>
      </c>
      <c r="B4197" s="1" t="n">
        <v>45804.60773148148</v>
      </c>
      <c r="C4197" s="1" t="n">
        <v>46011</v>
      </c>
      <c r="D4197" t="inlineStr">
        <is>
          <t>VÄSTRA GÖTALANDS LÄN</t>
        </is>
      </c>
      <c r="E4197" t="inlineStr">
        <is>
          <t>MUNKEDAL</t>
        </is>
      </c>
      <c r="G4197" t="n">
        <v>10.9</v>
      </c>
      <c r="H4197" t="n">
        <v>0</v>
      </c>
      <c r="I4197" t="n">
        <v>0</v>
      </c>
      <c r="J4197" t="n">
        <v>0</v>
      </c>
      <c r="K4197" t="n">
        <v>0</v>
      </c>
      <c r="L4197" t="n">
        <v>0</v>
      </c>
      <c r="M4197" t="n">
        <v>0</v>
      </c>
      <c r="N4197" t="n">
        <v>0</v>
      </c>
      <c r="O4197" t="n">
        <v>0</v>
      </c>
      <c r="P4197" t="n">
        <v>0</v>
      </c>
      <c r="Q4197" t="n">
        <v>0</v>
      </c>
      <c r="R4197" s="2" t="inlineStr"/>
    </row>
    <row r="4198" ht="15" customHeight="1">
      <c r="A4198" t="inlineStr">
        <is>
          <t>A 18647-2025</t>
        </is>
      </c>
      <c r="B4198" s="1" t="n">
        <v>45763.57391203703</v>
      </c>
      <c r="C4198" s="1" t="n">
        <v>46011</v>
      </c>
      <c r="D4198" t="inlineStr">
        <is>
          <t>VÄSTRA GÖTALANDS LÄN</t>
        </is>
      </c>
      <c r="E4198" t="inlineStr">
        <is>
          <t>GÖTENE</t>
        </is>
      </c>
      <c r="F4198" t="inlineStr">
        <is>
          <t>Kommuner</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28910-2024</t>
        </is>
      </c>
      <c r="B4199" s="1" t="n">
        <v>45480.65789351852</v>
      </c>
      <c r="C4199" s="1" t="n">
        <v>46011</v>
      </c>
      <c r="D4199" t="inlineStr">
        <is>
          <t>VÄSTRA GÖTALANDS LÄN</t>
        </is>
      </c>
      <c r="E4199" t="inlineStr">
        <is>
          <t>LILLA EDET</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25642-2025</t>
        </is>
      </c>
      <c r="B4200" s="1" t="n">
        <v>45803.60490740741</v>
      </c>
      <c r="C4200" s="1" t="n">
        <v>46011</v>
      </c>
      <c r="D4200" t="inlineStr">
        <is>
          <t>VÄSTRA GÖTALANDS LÄN</t>
        </is>
      </c>
      <c r="E4200" t="inlineStr">
        <is>
          <t>SKÖVDE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64427-2023</t>
        </is>
      </c>
      <c r="B4201" s="1" t="n">
        <v>45280.66630787037</v>
      </c>
      <c r="C4201" s="1" t="n">
        <v>46011</v>
      </c>
      <c r="D4201" t="inlineStr">
        <is>
          <t>VÄSTRA GÖTALANDS LÄN</t>
        </is>
      </c>
      <c r="E4201" t="inlineStr">
        <is>
          <t>FÄRGELANDA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25652-2025</t>
        </is>
      </c>
      <c r="B4202" s="1" t="n">
        <v>45803.61063657407</v>
      </c>
      <c r="C4202" s="1" t="n">
        <v>46011</v>
      </c>
      <c r="D4202" t="inlineStr">
        <is>
          <t>VÄSTRA GÖTALANDS LÄN</t>
        </is>
      </c>
      <c r="E4202" t="inlineStr">
        <is>
          <t>MELLERUD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35423-2025</t>
        </is>
      </c>
      <c r="B4203" s="1" t="n">
        <v>45855.4134837963</v>
      </c>
      <c r="C4203" s="1" t="n">
        <v>46011</v>
      </c>
      <c r="D4203" t="inlineStr">
        <is>
          <t>VÄSTRA GÖTALANDS LÄN</t>
        </is>
      </c>
      <c r="E4203" t="inlineStr">
        <is>
          <t>LILLA EDET</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25694-2025</t>
        </is>
      </c>
      <c r="B4204" s="1" t="n">
        <v>45803.66457175926</v>
      </c>
      <c r="C4204" s="1" t="n">
        <v>46011</v>
      </c>
      <c r="D4204" t="inlineStr">
        <is>
          <t>VÄSTRA GÖTALANDS LÄN</t>
        </is>
      </c>
      <c r="E4204" t="inlineStr">
        <is>
          <t>BOLLEBYGD</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29966-2024</t>
        </is>
      </c>
      <c r="B4205" s="1" t="n">
        <v>45488</v>
      </c>
      <c r="C4205" s="1" t="n">
        <v>46011</v>
      </c>
      <c r="D4205" t="inlineStr">
        <is>
          <t>VÄSTRA GÖTALANDS LÄN</t>
        </is>
      </c>
      <c r="E4205" t="inlineStr">
        <is>
          <t>FALKÖPING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30601-2025</t>
        </is>
      </c>
      <c r="B4206" s="1" t="n">
        <v>45831.45100694444</v>
      </c>
      <c r="C4206" s="1" t="n">
        <v>46011</v>
      </c>
      <c r="D4206" t="inlineStr">
        <is>
          <t>VÄSTRA GÖTALANDS LÄN</t>
        </is>
      </c>
      <c r="E4206" t="inlineStr">
        <is>
          <t>FALKÖPING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34562-2025</t>
        </is>
      </c>
      <c r="B4207" s="1" t="n">
        <v>45847.57822916667</v>
      </c>
      <c r="C4207" s="1" t="n">
        <v>46011</v>
      </c>
      <c r="D4207" t="inlineStr">
        <is>
          <t>VÄSTRA GÖTALANDS LÄN</t>
        </is>
      </c>
      <c r="E4207" t="inlineStr">
        <is>
          <t>GÖTENE</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34395-2025</t>
        </is>
      </c>
      <c r="B4208" s="1" t="n">
        <v>45846.59416666667</v>
      </c>
      <c r="C4208" s="1" t="n">
        <v>46011</v>
      </c>
      <c r="D4208" t="inlineStr">
        <is>
          <t>VÄSTRA GÖTALANDS LÄN</t>
        </is>
      </c>
      <c r="E4208" t="inlineStr">
        <is>
          <t>GÖTENE</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11604-2024</t>
        </is>
      </c>
      <c r="B4209" s="1" t="n">
        <v>45373.39337962963</v>
      </c>
      <c r="C4209" s="1" t="n">
        <v>46011</v>
      </c>
      <c r="D4209" t="inlineStr">
        <is>
          <t>VÄSTRA GÖTALANDS LÄN</t>
        </is>
      </c>
      <c r="E4209" t="inlineStr">
        <is>
          <t>LILLA EDET</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11605-2024</t>
        </is>
      </c>
      <c r="B4210" s="1" t="n">
        <v>45373.39921296296</v>
      </c>
      <c r="C4210" s="1" t="n">
        <v>46011</v>
      </c>
      <c r="D4210" t="inlineStr">
        <is>
          <t>VÄSTRA GÖTALANDS LÄN</t>
        </is>
      </c>
      <c r="E4210" t="inlineStr">
        <is>
          <t>BOLLEBYGD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70708-2021</t>
        </is>
      </c>
      <c r="B4211" s="1" t="n">
        <v>44537</v>
      </c>
      <c r="C4211" s="1" t="n">
        <v>46011</v>
      </c>
      <c r="D4211" t="inlineStr">
        <is>
          <t>VÄSTRA GÖTALANDS LÄN</t>
        </is>
      </c>
      <c r="E4211" t="inlineStr">
        <is>
          <t>BOLLEBYGD</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25890-2025</t>
        </is>
      </c>
      <c r="B4212" s="1" t="n">
        <v>45804.53324074074</v>
      </c>
      <c r="C4212" s="1" t="n">
        <v>46011</v>
      </c>
      <c r="D4212" t="inlineStr">
        <is>
          <t>VÄSTRA GÖTALANDS LÄN</t>
        </is>
      </c>
      <c r="E4212" t="inlineStr">
        <is>
          <t>FÄRGELANDA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25897-2025</t>
        </is>
      </c>
      <c r="B4213" s="1" t="n">
        <v>45804.5475</v>
      </c>
      <c r="C4213" s="1" t="n">
        <v>46011</v>
      </c>
      <c r="D4213" t="inlineStr">
        <is>
          <t>VÄSTRA GÖTALANDS LÄN</t>
        </is>
      </c>
      <c r="E4213" t="inlineStr">
        <is>
          <t>ALINGSÅS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38739-2025</t>
        </is>
      </c>
      <c r="B4214" s="1" t="n">
        <v>45887.37248842593</v>
      </c>
      <c r="C4214" s="1" t="n">
        <v>46011</v>
      </c>
      <c r="D4214" t="inlineStr">
        <is>
          <t>VÄSTRA GÖTALANDS LÄN</t>
        </is>
      </c>
      <c r="E4214" t="inlineStr">
        <is>
          <t>LERUM</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38796-2025</t>
        </is>
      </c>
      <c r="B4215" s="1" t="n">
        <v>45887.45560185185</v>
      </c>
      <c r="C4215" s="1" t="n">
        <v>46011</v>
      </c>
      <c r="D4215" t="inlineStr">
        <is>
          <t>VÄSTRA GÖTALANDS LÄN</t>
        </is>
      </c>
      <c r="E4215" t="inlineStr">
        <is>
          <t>ESSUNGA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25634-2025</t>
        </is>
      </c>
      <c r="B4216" s="1" t="n">
        <v>45803.59570601852</v>
      </c>
      <c r="C4216" s="1" t="n">
        <v>46011</v>
      </c>
      <c r="D4216" t="inlineStr">
        <is>
          <t>VÄSTRA GÖTALANDS LÄN</t>
        </is>
      </c>
      <c r="E4216" t="inlineStr">
        <is>
          <t>GÖTEBORG</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53119-2024</t>
        </is>
      </c>
      <c r="B4217" s="1" t="n">
        <v>45611.58608796296</v>
      </c>
      <c r="C4217" s="1" t="n">
        <v>46011</v>
      </c>
      <c r="D4217" t="inlineStr">
        <is>
          <t>VÄSTRA GÖTALANDS LÄN</t>
        </is>
      </c>
      <c r="E4217" t="inlineStr">
        <is>
          <t>LIDKÖPING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25496-2025</t>
        </is>
      </c>
      <c r="B4218" s="1" t="n">
        <v>45803.3384375</v>
      </c>
      <c r="C4218" s="1" t="n">
        <v>46011</v>
      </c>
      <c r="D4218" t="inlineStr">
        <is>
          <t>VÄSTRA GÖTALANDS LÄN</t>
        </is>
      </c>
      <c r="E4218" t="inlineStr">
        <is>
          <t>HERRLJUNGA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35199-2025</t>
        </is>
      </c>
      <c r="B4219" s="1" t="n">
        <v>45853</v>
      </c>
      <c r="C4219" s="1" t="n">
        <v>46011</v>
      </c>
      <c r="D4219" t="inlineStr">
        <is>
          <t>VÄSTRA GÖTALANDS LÄN</t>
        </is>
      </c>
      <c r="E4219" t="inlineStr">
        <is>
          <t>SKÖVDE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53746-2024</t>
        </is>
      </c>
      <c r="B4220" s="1" t="n">
        <v>45615.47503472222</v>
      </c>
      <c r="C4220" s="1" t="n">
        <v>46011</v>
      </c>
      <c r="D4220" t="inlineStr">
        <is>
          <t>VÄSTRA GÖTALANDS LÄN</t>
        </is>
      </c>
      <c r="E4220" t="inlineStr">
        <is>
          <t>SVENLJUNGA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24429-2025</t>
        </is>
      </c>
      <c r="B4221" s="1" t="n">
        <v>45797</v>
      </c>
      <c r="C4221" s="1" t="n">
        <v>46011</v>
      </c>
      <c r="D4221" t="inlineStr">
        <is>
          <t>VÄSTRA GÖTALANDS LÄN</t>
        </is>
      </c>
      <c r="E4221" t="inlineStr">
        <is>
          <t>SKARA</t>
        </is>
      </c>
      <c r="F4221" t="inlineStr">
        <is>
          <t>Kyrkan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32608-2025</t>
        </is>
      </c>
      <c r="B4222" s="1" t="n">
        <v>45838</v>
      </c>
      <c r="C4222" s="1" t="n">
        <v>46011</v>
      </c>
      <c r="D4222" t="inlineStr">
        <is>
          <t>VÄSTRA GÖTALANDS LÄN</t>
        </is>
      </c>
      <c r="E4222" t="inlineStr">
        <is>
          <t>FÄRGELANDA</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43520-2022</t>
        </is>
      </c>
      <c r="B4223" s="1" t="n">
        <v>44837.37417824074</v>
      </c>
      <c r="C4223" s="1" t="n">
        <v>46011</v>
      </c>
      <c r="D4223" t="inlineStr">
        <is>
          <t>VÄSTRA GÖTALANDS LÄN</t>
        </is>
      </c>
      <c r="E4223" t="inlineStr">
        <is>
          <t>KUNGÄLV</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52198-2022</t>
        </is>
      </c>
      <c r="B4224" s="1" t="n">
        <v>44873.55699074074</v>
      </c>
      <c r="C4224" s="1" t="n">
        <v>46011</v>
      </c>
      <c r="D4224" t="inlineStr">
        <is>
          <t>VÄSTRA GÖTALANDS LÄN</t>
        </is>
      </c>
      <c r="E4224" t="inlineStr">
        <is>
          <t>ULRICEHAMN</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25935-2025</t>
        </is>
      </c>
      <c r="B4225" s="1" t="n">
        <v>45804.59189814814</v>
      </c>
      <c r="C4225" s="1" t="n">
        <v>46011</v>
      </c>
      <c r="D4225" t="inlineStr">
        <is>
          <t>VÄSTRA GÖTALANDS LÄN</t>
        </is>
      </c>
      <c r="E4225" t="inlineStr">
        <is>
          <t>BENGTSFORS</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61448-2024</t>
        </is>
      </c>
      <c r="B4226" s="1" t="n">
        <v>45646.48758101852</v>
      </c>
      <c r="C4226" s="1" t="n">
        <v>46011</v>
      </c>
      <c r="D4226" t="inlineStr">
        <is>
          <t>VÄSTRA GÖTALANDS LÄN</t>
        </is>
      </c>
      <c r="E4226" t="inlineStr">
        <is>
          <t>BORÅS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398-2025</t>
        </is>
      </c>
      <c r="B4227" s="1" t="n">
        <v>45663</v>
      </c>
      <c r="C4227" s="1" t="n">
        <v>46011</v>
      </c>
      <c r="D4227" t="inlineStr">
        <is>
          <t>VÄSTRA GÖTALANDS LÄN</t>
        </is>
      </c>
      <c r="E4227" t="inlineStr">
        <is>
          <t>ULRICEHAMN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19882-2025</t>
        </is>
      </c>
      <c r="B4228" s="1" t="n">
        <v>45771</v>
      </c>
      <c r="C4228" s="1" t="n">
        <v>46011</v>
      </c>
      <c r="D4228" t="inlineStr">
        <is>
          <t>VÄSTRA GÖTALANDS LÄN</t>
        </is>
      </c>
      <c r="E4228" t="inlineStr">
        <is>
          <t>HERRLJUNGA</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22226-2025</t>
        </is>
      </c>
      <c r="B4229" s="1" t="n">
        <v>45785.66313657408</v>
      </c>
      <c r="C4229" s="1" t="n">
        <v>46011</v>
      </c>
      <c r="D4229" t="inlineStr">
        <is>
          <t>VÄSTRA GÖTALANDS LÄN</t>
        </is>
      </c>
      <c r="E4229" t="inlineStr">
        <is>
          <t>SVENLJUNGA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57692-2023</t>
        </is>
      </c>
      <c r="B4230" s="1" t="n">
        <v>45243</v>
      </c>
      <c r="C4230" s="1" t="n">
        <v>46011</v>
      </c>
      <c r="D4230" t="inlineStr">
        <is>
          <t>VÄSTRA GÖTALANDS LÄN</t>
        </is>
      </c>
      <c r="E4230" t="inlineStr">
        <is>
          <t>MARIESTAD</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57701-2023</t>
        </is>
      </c>
      <c r="B4231" s="1" t="n">
        <v>45246.67354166666</v>
      </c>
      <c r="C4231" s="1" t="n">
        <v>46011</v>
      </c>
      <c r="D4231" t="inlineStr">
        <is>
          <t>VÄSTRA GÖTALANDS LÄN</t>
        </is>
      </c>
      <c r="E4231" t="inlineStr">
        <is>
          <t>DALS-ED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25910-2025</t>
        </is>
      </c>
      <c r="B4232" s="1" t="n">
        <v>45804.55891203704</v>
      </c>
      <c r="C4232" s="1" t="n">
        <v>46011</v>
      </c>
      <c r="D4232" t="inlineStr">
        <is>
          <t>VÄSTRA GÖTALANDS LÄN</t>
        </is>
      </c>
      <c r="E4232" t="inlineStr">
        <is>
          <t>MARIESTAD</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25937-2025</t>
        </is>
      </c>
      <c r="B4233" s="1" t="n">
        <v>45804.59358796296</v>
      </c>
      <c r="C4233" s="1" t="n">
        <v>46011</v>
      </c>
      <c r="D4233" t="inlineStr">
        <is>
          <t>VÄSTRA GÖTALANDS LÄN</t>
        </is>
      </c>
      <c r="E4233" t="inlineStr">
        <is>
          <t>BENGTSFORS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60267-2024</t>
        </is>
      </c>
      <c r="B4234" s="1" t="n">
        <v>45642.86611111111</v>
      </c>
      <c r="C4234" s="1" t="n">
        <v>46011</v>
      </c>
      <c r="D4234" t="inlineStr">
        <is>
          <t>VÄSTRA GÖTALANDS LÄN</t>
        </is>
      </c>
      <c r="E4234" t="inlineStr">
        <is>
          <t>TÖREBODA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27009-2025</t>
        </is>
      </c>
      <c r="B4235" s="1" t="n">
        <v>45811.55931712963</v>
      </c>
      <c r="C4235" s="1" t="n">
        <v>46011</v>
      </c>
      <c r="D4235" t="inlineStr">
        <is>
          <t>VÄSTRA GÖTALANDS LÄN</t>
        </is>
      </c>
      <c r="E4235" t="inlineStr">
        <is>
          <t>BENGTSFORS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17326-2025</t>
        </is>
      </c>
      <c r="B4236" s="1" t="n">
        <v>45756</v>
      </c>
      <c r="C4236" s="1" t="n">
        <v>46011</v>
      </c>
      <c r="D4236" t="inlineStr">
        <is>
          <t>VÄSTRA GÖTALANDS LÄN</t>
        </is>
      </c>
      <c r="E4236" t="inlineStr">
        <is>
          <t>SKÖVDE</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17488-2025</t>
        </is>
      </c>
      <c r="B4237" s="1" t="n">
        <v>45757.50461805556</v>
      </c>
      <c r="C4237" s="1" t="n">
        <v>46011</v>
      </c>
      <c r="D4237" t="inlineStr">
        <is>
          <t>VÄSTRA GÖTALANDS LÄN</t>
        </is>
      </c>
      <c r="E4237" t="inlineStr">
        <is>
          <t>FÄRGELANDA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27417-2025</t>
        </is>
      </c>
      <c r="B4238" s="1" t="n">
        <v>45812.88762731481</v>
      </c>
      <c r="C4238" s="1" t="n">
        <v>46011</v>
      </c>
      <c r="D4238" t="inlineStr">
        <is>
          <t>VÄSTRA GÖTALANDS LÄN</t>
        </is>
      </c>
      <c r="E4238" t="inlineStr">
        <is>
          <t>TRANEMO</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10460-2024</t>
        </is>
      </c>
      <c r="B4239" s="1" t="n">
        <v>45366</v>
      </c>
      <c r="C4239" s="1" t="n">
        <v>46011</v>
      </c>
      <c r="D4239" t="inlineStr">
        <is>
          <t>VÄSTRA GÖTALANDS LÄN</t>
        </is>
      </c>
      <c r="E4239" t="inlineStr">
        <is>
          <t>FALKÖPING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25088-2025</t>
        </is>
      </c>
      <c r="B4240" s="1" t="n">
        <v>45800</v>
      </c>
      <c r="C4240" s="1" t="n">
        <v>46011</v>
      </c>
      <c r="D4240" t="inlineStr">
        <is>
          <t>VÄSTRA GÖTALANDS LÄN</t>
        </is>
      </c>
      <c r="E4240" t="inlineStr">
        <is>
          <t>BENGTSFORS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25505-2025</t>
        </is>
      </c>
      <c r="B4241" s="1" t="n">
        <v>45803.35204861111</v>
      </c>
      <c r="C4241" s="1" t="n">
        <v>46011</v>
      </c>
      <c r="D4241" t="inlineStr">
        <is>
          <t>VÄSTRA GÖTALANDS LÄN</t>
        </is>
      </c>
      <c r="E4241" t="inlineStr">
        <is>
          <t>HERRLJUNGA</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25562-2025</t>
        </is>
      </c>
      <c r="B4242" s="1" t="n">
        <v>45803.45508101852</v>
      </c>
      <c r="C4242" s="1" t="n">
        <v>46011</v>
      </c>
      <c r="D4242" t="inlineStr">
        <is>
          <t>VÄSTRA GÖTALANDS LÄN</t>
        </is>
      </c>
      <c r="E4242" t="inlineStr">
        <is>
          <t>ALINGSÅS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18779-2024</t>
        </is>
      </c>
      <c r="B4243" s="1" t="n">
        <v>45426.57429398148</v>
      </c>
      <c r="C4243" s="1" t="n">
        <v>46011</v>
      </c>
      <c r="D4243" t="inlineStr">
        <is>
          <t>VÄSTRA GÖTALANDS LÄN</t>
        </is>
      </c>
      <c r="E4243" t="inlineStr">
        <is>
          <t>TRANEMO</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39010-2025</t>
        </is>
      </c>
      <c r="B4244" s="1" t="n">
        <v>45888.3525</v>
      </c>
      <c r="C4244" s="1" t="n">
        <v>46011</v>
      </c>
      <c r="D4244" t="inlineStr">
        <is>
          <t>VÄSTRA GÖTALANDS LÄN</t>
        </is>
      </c>
      <c r="E4244" t="inlineStr">
        <is>
          <t>TRANEMO</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39060-2025</t>
        </is>
      </c>
      <c r="B4245" s="1" t="n">
        <v>45888.45876157407</v>
      </c>
      <c r="C4245" s="1" t="n">
        <v>46011</v>
      </c>
      <c r="D4245" t="inlineStr">
        <is>
          <t>VÄSTRA GÖTALANDS LÄN</t>
        </is>
      </c>
      <c r="E4245" t="inlineStr">
        <is>
          <t>BORÅS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32764-2025</t>
        </is>
      </c>
      <c r="B4246" s="1" t="n">
        <v>45839</v>
      </c>
      <c r="C4246" s="1" t="n">
        <v>46011</v>
      </c>
      <c r="D4246" t="inlineStr">
        <is>
          <t>VÄSTRA GÖTALANDS LÄN</t>
        </is>
      </c>
      <c r="E4246" t="inlineStr">
        <is>
          <t>BENGTSFORS</t>
        </is>
      </c>
      <c r="F4246" t="inlineStr">
        <is>
          <t>Övriga Aktiebolag</t>
        </is>
      </c>
      <c r="G4246" t="n">
        <v>12.8</v>
      </c>
      <c r="H4246" t="n">
        <v>0</v>
      </c>
      <c r="I4246" t="n">
        <v>0</v>
      </c>
      <c r="J4246" t="n">
        <v>0</v>
      </c>
      <c r="K4246" t="n">
        <v>0</v>
      </c>
      <c r="L4246" t="n">
        <v>0</v>
      </c>
      <c r="M4246" t="n">
        <v>0</v>
      </c>
      <c r="N4246" t="n">
        <v>0</v>
      </c>
      <c r="O4246" t="n">
        <v>0</v>
      </c>
      <c r="P4246" t="n">
        <v>0</v>
      </c>
      <c r="Q4246" t="n">
        <v>0</v>
      </c>
      <c r="R4246" s="2" t="inlineStr"/>
    </row>
    <row r="4247" ht="15" customHeight="1">
      <c r="A4247" t="inlineStr">
        <is>
          <t>A 41991-2022</t>
        </is>
      </c>
      <c r="B4247" s="1" t="n">
        <v>44830.44231481481</v>
      </c>
      <c r="C4247" s="1" t="n">
        <v>46011</v>
      </c>
      <c r="D4247" t="inlineStr">
        <is>
          <t>VÄSTRA GÖTALANDS LÄN</t>
        </is>
      </c>
      <c r="E4247" t="inlineStr">
        <is>
          <t>STRÖMSTAD</t>
        </is>
      </c>
      <c r="G4247" t="n">
        <v>0</v>
      </c>
      <c r="H4247" t="n">
        <v>0</v>
      </c>
      <c r="I4247" t="n">
        <v>0</v>
      </c>
      <c r="J4247" t="n">
        <v>0</v>
      </c>
      <c r="K4247" t="n">
        <v>0</v>
      </c>
      <c r="L4247" t="n">
        <v>0</v>
      </c>
      <c r="M4247" t="n">
        <v>0</v>
      </c>
      <c r="N4247" t="n">
        <v>0</v>
      </c>
      <c r="O4247" t="n">
        <v>0</v>
      </c>
      <c r="P4247" t="n">
        <v>0</v>
      </c>
      <c r="Q4247" t="n">
        <v>0</v>
      </c>
      <c r="R4247" s="2" t="inlineStr"/>
    </row>
    <row r="4248" ht="15" customHeight="1">
      <c r="A4248" t="inlineStr">
        <is>
          <t>A 26035-2025</t>
        </is>
      </c>
      <c r="B4248" s="1" t="n">
        <v>45804</v>
      </c>
      <c r="C4248" s="1" t="n">
        <v>46011</v>
      </c>
      <c r="D4248" t="inlineStr">
        <is>
          <t>VÄSTRA GÖTALANDS LÄN</t>
        </is>
      </c>
      <c r="E4248" t="inlineStr">
        <is>
          <t>GÖTENE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18083-2024</t>
        </is>
      </c>
      <c r="B4249" s="1" t="n">
        <v>45420.44768518519</v>
      </c>
      <c r="C4249" s="1" t="n">
        <v>46011</v>
      </c>
      <c r="D4249" t="inlineStr">
        <is>
          <t>VÄSTRA GÖTALANDS LÄN</t>
        </is>
      </c>
      <c r="E4249" t="inlineStr">
        <is>
          <t>KARLSBORG</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25895-2025</t>
        </is>
      </c>
      <c r="B4250" s="1" t="n">
        <v>45804.5450462963</v>
      </c>
      <c r="C4250" s="1" t="n">
        <v>46011</v>
      </c>
      <c r="D4250" t="inlineStr">
        <is>
          <t>VÄSTRA GÖTALANDS LÄN</t>
        </is>
      </c>
      <c r="E4250" t="inlineStr">
        <is>
          <t>ALINGSÅS</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25906-2025</t>
        </is>
      </c>
      <c r="B4251" s="1" t="n">
        <v>45804.55729166666</v>
      </c>
      <c r="C4251" s="1" t="n">
        <v>46011</v>
      </c>
      <c r="D4251" t="inlineStr">
        <is>
          <t>VÄSTRA GÖTALANDS LÄN</t>
        </is>
      </c>
      <c r="E4251" t="inlineStr">
        <is>
          <t>VÅRGÅRDA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25909-2025</t>
        </is>
      </c>
      <c r="B4252" s="1" t="n">
        <v>45804.55820601852</v>
      </c>
      <c r="C4252" s="1" t="n">
        <v>46011</v>
      </c>
      <c r="D4252" t="inlineStr">
        <is>
          <t>VÄSTRA GÖTALANDS LÄN</t>
        </is>
      </c>
      <c r="E4252" t="inlineStr">
        <is>
          <t>VÅRGÅRDA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25912-2025</t>
        </is>
      </c>
      <c r="B4253" s="1" t="n">
        <v>45804.56056712963</v>
      </c>
      <c r="C4253" s="1" t="n">
        <v>46011</v>
      </c>
      <c r="D4253" t="inlineStr">
        <is>
          <t>VÄSTRA GÖTALANDS LÄN</t>
        </is>
      </c>
      <c r="E4253" t="inlineStr">
        <is>
          <t>MARIESTAD</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18095-2024</t>
        </is>
      </c>
      <c r="B4254" s="1" t="n">
        <v>45420</v>
      </c>
      <c r="C4254" s="1" t="n">
        <v>46011</v>
      </c>
      <c r="D4254" t="inlineStr">
        <is>
          <t>VÄSTRA GÖTALANDS LÄN</t>
        </is>
      </c>
      <c r="E4254" t="inlineStr">
        <is>
          <t>TIDAHOLM</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38794-2025</t>
        </is>
      </c>
      <c r="B4255" s="1" t="n">
        <v>45887.45128472222</v>
      </c>
      <c r="C4255" s="1" t="n">
        <v>46011</v>
      </c>
      <c r="D4255" t="inlineStr">
        <is>
          <t>VÄSTRA GÖTALANDS LÄN</t>
        </is>
      </c>
      <c r="E4255" t="inlineStr">
        <is>
          <t>ESSUNGA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38800-2025</t>
        </is>
      </c>
      <c r="B4256" s="1" t="n">
        <v>45887.46082175926</v>
      </c>
      <c r="C4256" s="1" t="n">
        <v>46011</v>
      </c>
      <c r="D4256" t="inlineStr">
        <is>
          <t>VÄSTRA GÖTALANDS LÄN</t>
        </is>
      </c>
      <c r="E4256" t="inlineStr">
        <is>
          <t>ESSUNGA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17139-2023</t>
        </is>
      </c>
      <c r="B4257" s="1" t="n">
        <v>45034.61293981481</v>
      </c>
      <c r="C4257" s="1" t="n">
        <v>46011</v>
      </c>
      <c r="D4257" t="inlineStr">
        <is>
          <t>VÄSTRA GÖTALANDS LÄN</t>
        </is>
      </c>
      <c r="E4257" t="inlineStr">
        <is>
          <t>UDDEVALLA</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25554-2025</t>
        </is>
      </c>
      <c r="B4258" s="1" t="n">
        <v>45803.44790509259</v>
      </c>
      <c r="C4258" s="1" t="n">
        <v>46011</v>
      </c>
      <c r="D4258" t="inlineStr">
        <is>
          <t>VÄSTRA GÖTALANDS LÄN</t>
        </is>
      </c>
      <c r="E4258" t="inlineStr">
        <is>
          <t>GRÄSTORP</t>
        </is>
      </c>
      <c r="F4258" t="inlineStr">
        <is>
          <t>Sveaskog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17240-2023</t>
        </is>
      </c>
      <c r="B4259" s="1" t="n">
        <v>45035.35192129629</v>
      </c>
      <c r="C4259" s="1" t="n">
        <v>46011</v>
      </c>
      <c r="D4259" t="inlineStr">
        <is>
          <t>VÄSTRA GÖTALANDS LÄN</t>
        </is>
      </c>
      <c r="E4259" t="inlineStr">
        <is>
          <t>UDDEVALLA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17242-2023</t>
        </is>
      </c>
      <c r="B4260" s="1" t="n">
        <v>45035.35361111111</v>
      </c>
      <c r="C4260" s="1" t="n">
        <v>46011</v>
      </c>
      <c r="D4260" t="inlineStr">
        <is>
          <t>VÄSTRA GÖTALANDS LÄN</t>
        </is>
      </c>
      <c r="E4260" t="inlineStr">
        <is>
          <t>UDDEVALLA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5448-2025</t>
        </is>
      </c>
      <c r="B4261" s="1" t="n">
        <v>45692.88263888889</v>
      </c>
      <c r="C4261" s="1" t="n">
        <v>46011</v>
      </c>
      <c r="D4261" t="inlineStr">
        <is>
          <t>VÄSTRA GÖTALANDS LÄN</t>
        </is>
      </c>
      <c r="E4261" t="inlineStr">
        <is>
          <t>VÅRGÅRDA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15684-2025</t>
        </is>
      </c>
      <c r="B4262" s="1" t="n">
        <v>45748.45770833334</v>
      </c>
      <c r="C4262" s="1" t="n">
        <v>46011</v>
      </c>
      <c r="D4262" t="inlineStr">
        <is>
          <t>VÄSTRA GÖTALANDS LÄN</t>
        </is>
      </c>
      <c r="E4262" t="inlineStr">
        <is>
          <t>FALKÖPING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25635-2025</t>
        </is>
      </c>
      <c r="B4263" s="1" t="n">
        <v>45803.59703703703</v>
      </c>
      <c r="C4263" s="1" t="n">
        <v>46011</v>
      </c>
      <c r="D4263" t="inlineStr">
        <is>
          <t>VÄSTRA GÖTALANDS LÄN</t>
        </is>
      </c>
      <c r="E4263" t="inlineStr">
        <is>
          <t>MELLERUD</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25799-2025</t>
        </is>
      </c>
      <c r="B4264" s="1" t="n">
        <v>45804.40251157407</v>
      </c>
      <c r="C4264" s="1" t="n">
        <v>46011</v>
      </c>
      <c r="D4264" t="inlineStr">
        <is>
          <t>VÄSTRA GÖTALANDS LÄN</t>
        </is>
      </c>
      <c r="E4264" t="inlineStr">
        <is>
          <t>MARIESTAD</t>
        </is>
      </c>
      <c r="F4264" t="inlineStr">
        <is>
          <t>Sveaskog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25815-2025</t>
        </is>
      </c>
      <c r="B4265" s="1" t="n">
        <v>45804.42990740741</v>
      </c>
      <c r="C4265" s="1" t="n">
        <v>46011</v>
      </c>
      <c r="D4265" t="inlineStr">
        <is>
          <t>VÄSTRA GÖTALANDS LÄN</t>
        </is>
      </c>
      <c r="E4265" t="inlineStr">
        <is>
          <t>ÅMÅL</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25818-2025</t>
        </is>
      </c>
      <c r="B4266" s="1" t="n">
        <v>45804.43519675926</v>
      </c>
      <c r="C4266" s="1" t="n">
        <v>46011</v>
      </c>
      <c r="D4266" t="inlineStr">
        <is>
          <t>VÄSTRA GÖTALANDS LÄN</t>
        </is>
      </c>
      <c r="E4266" t="inlineStr">
        <is>
          <t>ÅMÅL</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25849-2025</t>
        </is>
      </c>
      <c r="B4267" s="1" t="n">
        <v>45804</v>
      </c>
      <c r="C4267" s="1" t="n">
        <v>46011</v>
      </c>
      <c r="D4267" t="inlineStr">
        <is>
          <t>VÄSTRA GÖTALANDS LÄN</t>
        </is>
      </c>
      <c r="E4267" t="inlineStr">
        <is>
          <t>ALE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58590-2024</t>
        </is>
      </c>
      <c r="B4268" s="1" t="n">
        <v>45632</v>
      </c>
      <c r="C4268" s="1" t="n">
        <v>46011</v>
      </c>
      <c r="D4268" t="inlineStr">
        <is>
          <t>VÄSTRA GÖTALANDS LÄN</t>
        </is>
      </c>
      <c r="E4268" t="inlineStr">
        <is>
          <t>DALS-ED</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25892-2025</t>
        </is>
      </c>
      <c r="B4269" s="1" t="n">
        <v>45804.53835648148</v>
      </c>
      <c r="C4269" s="1" t="n">
        <v>46011</v>
      </c>
      <c r="D4269" t="inlineStr">
        <is>
          <t>VÄSTRA GÖTALANDS LÄN</t>
        </is>
      </c>
      <c r="E4269" t="inlineStr">
        <is>
          <t>ALINGSÅS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44523-2023</t>
        </is>
      </c>
      <c r="B4270" s="1" t="n">
        <v>45189.4774537037</v>
      </c>
      <c r="C4270" s="1" t="n">
        <v>46011</v>
      </c>
      <c r="D4270" t="inlineStr">
        <is>
          <t>VÄSTRA GÖTALANDS LÄN</t>
        </is>
      </c>
      <c r="E4270" t="inlineStr">
        <is>
          <t>STRÖMSTAD</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14786-2024</t>
        </is>
      </c>
      <c r="B4271" s="1" t="n">
        <v>45397.76206018519</v>
      </c>
      <c r="C4271" s="1" t="n">
        <v>46011</v>
      </c>
      <c r="D4271" t="inlineStr">
        <is>
          <t>VÄSTRA GÖTALANDS LÄN</t>
        </is>
      </c>
      <c r="E4271" t="inlineStr">
        <is>
          <t>VÅRGÅRDA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30990-2023</t>
        </is>
      </c>
      <c r="B4272" s="1" t="n">
        <v>45113</v>
      </c>
      <c r="C4272" s="1" t="n">
        <v>46011</v>
      </c>
      <c r="D4272" t="inlineStr">
        <is>
          <t>VÄSTRA GÖTALANDS LÄN</t>
        </is>
      </c>
      <c r="E4272" t="inlineStr">
        <is>
          <t>ÅMÅL</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58335-2023</t>
        </is>
      </c>
      <c r="B4273" s="1" t="n">
        <v>45245</v>
      </c>
      <c r="C4273" s="1" t="n">
        <v>46011</v>
      </c>
      <c r="D4273" t="inlineStr">
        <is>
          <t>VÄSTRA GÖTALANDS LÄN</t>
        </is>
      </c>
      <c r="E4273" t="inlineStr">
        <is>
          <t>MARIESTAD</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27109-2024</t>
        </is>
      </c>
      <c r="B4274" s="1" t="n">
        <v>45471.49974537037</v>
      </c>
      <c r="C4274" s="1" t="n">
        <v>46011</v>
      </c>
      <c r="D4274" t="inlineStr">
        <is>
          <t>VÄSTRA GÖTALANDS LÄN</t>
        </is>
      </c>
      <c r="E4274" t="inlineStr">
        <is>
          <t>SKÖVDE</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58251-2024</t>
        </is>
      </c>
      <c r="B4275" s="1" t="n">
        <v>45631</v>
      </c>
      <c r="C4275" s="1" t="n">
        <v>46011</v>
      </c>
      <c r="D4275" t="inlineStr">
        <is>
          <t>VÄSTRA GÖTALANDS LÄN</t>
        </is>
      </c>
      <c r="E4275" t="inlineStr">
        <is>
          <t>MUNKEDAL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20974-2025</t>
        </is>
      </c>
      <c r="B4276" s="1" t="n">
        <v>45777.4587962963</v>
      </c>
      <c r="C4276" s="1" t="n">
        <v>46011</v>
      </c>
      <c r="D4276" t="inlineStr">
        <is>
          <t>VÄSTRA GÖTALANDS LÄN</t>
        </is>
      </c>
      <c r="E4276" t="inlineStr">
        <is>
          <t>STENUNGSUND</t>
        </is>
      </c>
      <c r="G4276" t="n">
        <v>10.3</v>
      </c>
      <c r="H4276" t="n">
        <v>0</v>
      </c>
      <c r="I4276" t="n">
        <v>0</v>
      </c>
      <c r="J4276" t="n">
        <v>0</v>
      </c>
      <c r="K4276" t="n">
        <v>0</v>
      </c>
      <c r="L4276" t="n">
        <v>0</v>
      </c>
      <c r="M4276" t="n">
        <v>0</v>
      </c>
      <c r="N4276" t="n">
        <v>0</v>
      </c>
      <c r="O4276" t="n">
        <v>0</v>
      </c>
      <c r="P4276" t="n">
        <v>0</v>
      </c>
      <c r="Q4276" t="n">
        <v>0</v>
      </c>
      <c r="R4276" s="2" t="inlineStr"/>
    </row>
    <row r="4277" ht="15" customHeight="1">
      <c r="A4277" t="inlineStr">
        <is>
          <t>A 17272-2025</t>
        </is>
      </c>
      <c r="B4277" s="1" t="n">
        <v>45756</v>
      </c>
      <c r="C4277" s="1" t="n">
        <v>46011</v>
      </c>
      <c r="D4277" t="inlineStr">
        <is>
          <t>VÄSTRA GÖTALANDS LÄN</t>
        </is>
      </c>
      <c r="E4277" t="inlineStr">
        <is>
          <t>HERRLJUNGA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38743-2025</t>
        </is>
      </c>
      <c r="B4278" s="1" t="n">
        <v>45887.37728009259</v>
      </c>
      <c r="C4278" s="1" t="n">
        <v>46011</v>
      </c>
      <c r="D4278" t="inlineStr">
        <is>
          <t>VÄSTRA GÖTALANDS LÄN</t>
        </is>
      </c>
      <c r="E4278" t="inlineStr">
        <is>
          <t>LERUM</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20265-2025</t>
        </is>
      </c>
      <c r="B4279" s="1" t="n">
        <v>45773.45891203704</v>
      </c>
      <c r="C4279" s="1" t="n">
        <v>46011</v>
      </c>
      <c r="D4279" t="inlineStr">
        <is>
          <t>VÄSTRA GÖTALANDS LÄN</t>
        </is>
      </c>
      <c r="E4279" t="inlineStr">
        <is>
          <t>DALS-ED</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38705-2025</t>
        </is>
      </c>
      <c r="B4280" s="1" t="n">
        <v>45885.44560185185</v>
      </c>
      <c r="C4280" s="1" t="n">
        <v>46011</v>
      </c>
      <c r="D4280" t="inlineStr">
        <is>
          <t>VÄSTRA GÖTALANDS LÄN</t>
        </is>
      </c>
      <c r="E4280" t="inlineStr">
        <is>
          <t>TÖREBODA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38706-2025</t>
        </is>
      </c>
      <c r="B4281" s="1" t="n">
        <v>45885.4540162037</v>
      </c>
      <c r="C4281" s="1" t="n">
        <v>46011</v>
      </c>
      <c r="D4281" t="inlineStr">
        <is>
          <t>VÄSTRA GÖTALANDS LÄN</t>
        </is>
      </c>
      <c r="E4281" t="inlineStr">
        <is>
          <t>TÖREBODA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28802-2025</t>
        </is>
      </c>
      <c r="B4282" s="1" t="n">
        <v>45820.50112268519</v>
      </c>
      <c r="C4282" s="1" t="n">
        <v>46011</v>
      </c>
      <c r="D4282" t="inlineStr">
        <is>
          <t>VÄSTRA GÖTALANDS LÄN</t>
        </is>
      </c>
      <c r="E4282" t="inlineStr">
        <is>
          <t>TRANEMO</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38950-2025</t>
        </is>
      </c>
      <c r="B4283" s="1" t="n">
        <v>45887.65802083333</v>
      </c>
      <c r="C4283" s="1" t="n">
        <v>46011</v>
      </c>
      <c r="D4283" t="inlineStr">
        <is>
          <t>VÄSTRA GÖTALANDS LÄN</t>
        </is>
      </c>
      <c r="E4283" t="inlineStr">
        <is>
          <t>MARIESTAD</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25798-2025</t>
        </is>
      </c>
      <c r="B4284" s="1" t="n">
        <v>45804.4008912037</v>
      </c>
      <c r="C4284" s="1" t="n">
        <v>46011</v>
      </c>
      <c r="D4284" t="inlineStr">
        <is>
          <t>VÄSTRA GÖTALANDS LÄN</t>
        </is>
      </c>
      <c r="E4284" t="inlineStr">
        <is>
          <t>MARIESTAD</t>
        </is>
      </c>
      <c r="F4284" t="inlineStr">
        <is>
          <t>Sveaskog</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25800-2025</t>
        </is>
      </c>
      <c r="B4285" s="1" t="n">
        <v>45804.40402777777</v>
      </c>
      <c r="C4285" s="1" t="n">
        <v>46011</v>
      </c>
      <c r="D4285" t="inlineStr">
        <is>
          <t>VÄSTRA GÖTALANDS LÄN</t>
        </is>
      </c>
      <c r="E4285" t="inlineStr">
        <is>
          <t>MARIESTAD</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25848-2025</t>
        </is>
      </c>
      <c r="B4286" s="1" t="n">
        <v>45804</v>
      </c>
      <c r="C4286" s="1" t="n">
        <v>46011</v>
      </c>
      <c r="D4286" t="inlineStr">
        <is>
          <t>VÄSTRA GÖTALANDS LÄN</t>
        </is>
      </c>
      <c r="E4286" t="inlineStr">
        <is>
          <t>ALE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55424-2021</t>
        </is>
      </c>
      <c r="B4287" s="1" t="n">
        <v>44475</v>
      </c>
      <c r="C4287" s="1" t="n">
        <v>46011</v>
      </c>
      <c r="D4287" t="inlineStr">
        <is>
          <t>VÄSTRA GÖTALANDS LÄN</t>
        </is>
      </c>
      <c r="E4287" t="inlineStr">
        <is>
          <t>MARK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25601-2025</t>
        </is>
      </c>
      <c r="B4288" s="1" t="n">
        <v>45803.54850694445</v>
      </c>
      <c r="C4288" s="1" t="n">
        <v>46011</v>
      </c>
      <c r="D4288" t="inlineStr">
        <is>
          <t>VÄSTRA GÖTALANDS LÄN</t>
        </is>
      </c>
      <c r="E4288" t="inlineStr">
        <is>
          <t>GULLSPÅNG</t>
        </is>
      </c>
      <c r="F4288" t="inlineStr">
        <is>
          <t>Kyrkan</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14409-2025</t>
        </is>
      </c>
      <c r="B4289" s="1" t="n">
        <v>45741.47278935185</v>
      </c>
      <c r="C4289" s="1" t="n">
        <v>46011</v>
      </c>
      <c r="D4289" t="inlineStr">
        <is>
          <t>VÄSTRA GÖTALANDS LÄN</t>
        </is>
      </c>
      <c r="E4289" t="inlineStr">
        <is>
          <t>LERUM</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25607-2025</t>
        </is>
      </c>
      <c r="B4290" s="1" t="n">
        <v>45803.55378472222</v>
      </c>
      <c r="C4290" s="1" t="n">
        <v>46011</v>
      </c>
      <c r="D4290" t="inlineStr">
        <is>
          <t>VÄSTRA GÖTALANDS LÄN</t>
        </is>
      </c>
      <c r="E4290" t="inlineStr">
        <is>
          <t>MUNKEDAL</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25794-2025</t>
        </is>
      </c>
      <c r="B4291" s="1" t="n">
        <v>45804.39341435185</v>
      </c>
      <c r="C4291" s="1" t="n">
        <v>46011</v>
      </c>
      <c r="D4291" t="inlineStr">
        <is>
          <t>VÄSTRA GÖTALANDS LÄN</t>
        </is>
      </c>
      <c r="E4291" t="inlineStr">
        <is>
          <t>SKÖVDE</t>
        </is>
      </c>
      <c r="F4291" t="inlineStr">
        <is>
          <t>Sveaskog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25950-2025</t>
        </is>
      </c>
      <c r="B4292" s="1" t="n">
        <v>45804.59694444444</v>
      </c>
      <c r="C4292" s="1" t="n">
        <v>46011</v>
      </c>
      <c r="D4292" t="inlineStr">
        <is>
          <t>VÄSTRA GÖTALANDS LÄN</t>
        </is>
      </c>
      <c r="E4292" t="inlineStr">
        <is>
          <t>MARIESTAD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39009-2025</t>
        </is>
      </c>
      <c r="B4293" s="1" t="n">
        <v>45888.34644675926</v>
      </c>
      <c r="C4293" s="1" t="n">
        <v>46011</v>
      </c>
      <c r="D4293" t="inlineStr">
        <is>
          <t>VÄSTRA GÖTALANDS LÄN</t>
        </is>
      </c>
      <c r="E4293" t="inlineStr">
        <is>
          <t>SVENLJUNGA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25402-2023</t>
        </is>
      </c>
      <c r="B4294" s="1" t="n">
        <v>45089</v>
      </c>
      <c r="C4294" s="1" t="n">
        <v>46011</v>
      </c>
      <c r="D4294" t="inlineStr">
        <is>
          <t>VÄSTRA GÖTALANDS LÄN</t>
        </is>
      </c>
      <c r="E4294" t="inlineStr">
        <is>
          <t>TRANEMO</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39031-2025</t>
        </is>
      </c>
      <c r="B4295" s="1" t="n">
        <v>45888.40994212963</v>
      </c>
      <c r="C4295" s="1" t="n">
        <v>46011</v>
      </c>
      <c r="D4295" t="inlineStr">
        <is>
          <t>VÄSTRA GÖTALANDS LÄN</t>
        </is>
      </c>
      <c r="E4295" t="inlineStr">
        <is>
          <t>BORÅS</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23795-2025</t>
        </is>
      </c>
      <c r="B4296" s="1" t="n">
        <v>45793.54684027778</v>
      </c>
      <c r="C4296" s="1" t="n">
        <v>46011</v>
      </c>
      <c r="D4296" t="inlineStr">
        <is>
          <t>VÄSTRA GÖTALANDS LÄN</t>
        </is>
      </c>
      <c r="E4296" t="inlineStr">
        <is>
          <t>SVENLJUNGA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25507-2025</t>
        </is>
      </c>
      <c r="B4297" s="1" t="n">
        <v>45803.35353009259</v>
      </c>
      <c r="C4297" s="1" t="n">
        <v>46011</v>
      </c>
      <c r="D4297" t="inlineStr">
        <is>
          <t>VÄSTRA GÖTALANDS LÄN</t>
        </is>
      </c>
      <c r="E4297" t="inlineStr">
        <is>
          <t>HERRLJUNGA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26029-2025</t>
        </is>
      </c>
      <c r="B4298" s="1" t="n">
        <v>45804</v>
      </c>
      <c r="C4298" s="1" t="n">
        <v>46011</v>
      </c>
      <c r="D4298" t="inlineStr">
        <is>
          <t>VÄSTRA GÖTALANDS LÄN</t>
        </is>
      </c>
      <c r="E4298" t="inlineStr">
        <is>
          <t>GÖTENE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38995-2024</t>
        </is>
      </c>
      <c r="B4299" s="1" t="n">
        <v>45548.41292824074</v>
      </c>
      <c r="C4299" s="1" t="n">
        <v>46011</v>
      </c>
      <c r="D4299" t="inlineStr">
        <is>
          <t>VÄSTRA GÖTALANDS LÄN</t>
        </is>
      </c>
      <c r="E4299" t="inlineStr">
        <is>
          <t>KARLSBORG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15648-2025</t>
        </is>
      </c>
      <c r="B4300" s="1" t="n">
        <v>45748.39800925926</v>
      </c>
      <c r="C4300" s="1" t="n">
        <v>46011</v>
      </c>
      <c r="D4300" t="inlineStr">
        <is>
          <t>VÄSTRA GÖTALANDS LÄN</t>
        </is>
      </c>
      <c r="E4300" t="inlineStr">
        <is>
          <t>TROLLHÄTTAN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14990-2025</t>
        </is>
      </c>
      <c r="B4301" s="1" t="n">
        <v>45743.60700231481</v>
      </c>
      <c r="C4301" s="1" t="n">
        <v>46011</v>
      </c>
      <c r="D4301" t="inlineStr">
        <is>
          <t>VÄSTRA GÖTALANDS LÄN</t>
        </is>
      </c>
      <c r="E4301" t="inlineStr">
        <is>
          <t>STENUNGSUND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11983-2025</t>
        </is>
      </c>
      <c r="B4302" s="1" t="n">
        <v>45728</v>
      </c>
      <c r="C4302" s="1" t="n">
        <v>46011</v>
      </c>
      <c r="D4302" t="inlineStr">
        <is>
          <t>VÄSTRA GÖTALANDS LÄN</t>
        </is>
      </c>
      <c r="E4302" t="inlineStr">
        <is>
          <t>VARA</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25566-2025</t>
        </is>
      </c>
      <c r="B4303" s="1" t="n">
        <v>45803.45799768518</v>
      </c>
      <c r="C4303" s="1" t="n">
        <v>46011</v>
      </c>
      <c r="D4303" t="inlineStr">
        <is>
          <t>VÄSTRA GÖTALANDS LÄN</t>
        </is>
      </c>
      <c r="E4303" t="inlineStr">
        <is>
          <t>GRÄSTORP</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18186-2024</t>
        </is>
      </c>
      <c r="B4304" s="1" t="n">
        <v>45420.65344907407</v>
      </c>
      <c r="C4304" s="1" t="n">
        <v>46011</v>
      </c>
      <c r="D4304" t="inlineStr">
        <is>
          <t>VÄSTRA GÖTALANDS LÄN</t>
        </is>
      </c>
      <c r="E4304" t="inlineStr">
        <is>
          <t>FÄRGELANDA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25620-2025</t>
        </is>
      </c>
      <c r="B4305" s="1" t="n">
        <v>45803.57626157408</v>
      </c>
      <c r="C4305" s="1" t="n">
        <v>46011</v>
      </c>
      <c r="D4305" t="inlineStr">
        <is>
          <t>VÄSTRA GÖTALANDS LÄN</t>
        </is>
      </c>
      <c r="E4305" t="inlineStr">
        <is>
          <t>MELLERUD</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25633-2025</t>
        </is>
      </c>
      <c r="B4306" s="1" t="n">
        <v>45803.59505787037</v>
      </c>
      <c r="C4306" s="1" t="n">
        <v>46011</v>
      </c>
      <c r="D4306" t="inlineStr">
        <is>
          <t>VÄSTRA GÖTALANDS LÄN</t>
        </is>
      </c>
      <c r="E4306" t="inlineStr">
        <is>
          <t>DALS-ED</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25434-2025</t>
        </is>
      </c>
      <c r="B4307" s="1" t="n">
        <v>45800.8074537037</v>
      </c>
      <c r="C4307" s="1" t="n">
        <v>46011</v>
      </c>
      <c r="D4307" t="inlineStr">
        <is>
          <t>VÄSTRA GÖTALANDS LÄN</t>
        </is>
      </c>
      <c r="E4307" t="inlineStr">
        <is>
          <t>GÖTENE</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25451-2025</t>
        </is>
      </c>
      <c r="B4308" s="1" t="n">
        <v>45801.81144675926</v>
      </c>
      <c r="C4308" s="1" t="n">
        <v>46011</v>
      </c>
      <c r="D4308" t="inlineStr">
        <is>
          <t>VÄSTRA GÖTALANDS LÄN</t>
        </is>
      </c>
      <c r="E4308" t="inlineStr">
        <is>
          <t>BORÅS</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55437-2024</t>
        </is>
      </c>
      <c r="B4309" s="1" t="n">
        <v>45622.4022337963</v>
      </c>
      <c r="C4309" s="1" t="n">
        <v>46011</v>
      </c>
      <c r="D4309" t="inlineStr">
        <is>
          <t>VÄSTRA GÖTALANDS LÄN</t>
        </is>
      </c>
      <c r="E4309" t="inlineStr">
        <is>
          <t>FALKÖPING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27014-2025</t>
        </is>
      </c>
      <c r="B4310" s="1" t="n">
        <v>45811.56616898148</v>
      </c>
      <c r="C4310" s="1" t="n">
        <v>46011</v>
      </c>
      <c r="D4310" t="inlineStr">
        <is>
          <t>VÄSTRA GÖTALANDS LÄN</t>
        </is>
      </c>
      <c r="E4310" t="inlineStr">
        <is>
          <t>TIDAHOLM</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67375-2021</t>
        </is>
      </c>
      <c r="B4311" s="1" t="n">
        <v>44523.90597222222</v>
      </c>
      <c r="C4311" s="1" t="n">
        <v>46011</v>
      </c>
      <c r="D4311" t="inlineStr">
        <is>
          <t>VÄSTRA GÖTALANDS LÄN</t>
        </is>
      </c>
      <c r="E4311" t="inlineStr">
        <is>
          <t>TRANEMO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18635-2023</t>
        </is>
      </c>
      <c r="B4312" s="1" t="n">
        <v>45043</v>
      </c>
      <c r="C4312" s="1" t="n">
        <v>46011</v>
      </c>
      <c r="D4312" t="inlineStr">
        <is>
          <t>VÄSTRA GÖTALANDS LÄN</t>
        </is>
      </c>
      <c r="E4312" t="inlineStr">
        <is>
          <t>SVENLJUNGA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13134-2024</t>
        </is>
      </c>
      <c r="B4313" s="1" t="n">
        <v>45386.33019675926</v>
      </c>
      <c r="C4313" s="1" t="n">
        <v>46011</v>
      </c>
      <c r="D4313" t="inlineStr">
        <is>
          <t>VÄSTRA GÖTALANDS LÄN</t>
        </is>
      </c>
      <c r="E4313" t="inlineStr">
        <is>
          <t>SVENLJUNGA</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25840-2025</t>
        </is>
      </c>
      <c r="B4314" s="1" t="n">
        <v>45804</v>
      </c>
      <c r="C4314" s="1" t="n">
        <v>46011</v>
      </c>
      <c r="D4314" t="inlineStr">
        <is>
          <t>VÄSTRA GÖTALANDS LÄN</t>
        </is>
      </c>
      <c r="E4314" t="inlineStr">
        <is>
          <t>ALE</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61194-2024</t>
        </is>
      </c>
      <c r="B4315" s="1" t="n">
        <v>45645.62891203703</v>
      </c>
      <c r="C4315" s="1" t="n">
        <v>46011</v>
      </c>
      <c r="D4315" t="inlineStr">
        <is>
          <t>VÄSTRA GÖTALANDS LÄN</t>
        </is>
      </c>
      <c r="E4315" t="inlineStr">
        <is>
          <t>GÖTENE</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25251-2025</t>
        </is>
      </c>
      <c r="B4316" s="1" t="n">
        <v>45800.50082175926</v>
      </c>
      <c r="C4316" s="1" t="n">
        <v>46011</v>
      </c>
      <c r="D4316" t="inlineStr">
        <is>
          <t>VÄSTRA GÖTALANDS LÄN</t>
        </is>
      </c>
      <c r="E4316" t="inlineStr">
        <is>
          <t>PARTILLE</t>
        </is>
      </c>
      <c r="F4316" t="inlineStr">
        <is>
          <t>Kommuner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52415-2024</t>
        </is>
      </c>
      <c r="B4317" s="1" t="n">
        <v>45609.45824074074</v>
      </c>
      <c r="C4317" s="1" t="n">
        <v>46011</v>
      </c>
      <c r="D4317" t="inlineStr">
        <is>
          <t>VÄSTRA GÖTALANDS LÄN</t>
        </is>
      </c>
      <c r="E4317" t="inlineStr">
        <is>
          <t>SVENLJUNGA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25575-2025</t>
        </is>
      </c>
      <c r="B4318" s="1" t="n">
        <v>45803.47547453704</v>
      </c>
      <c r="C4318" s="1" t="n">
        <v>46011</v>
      </c>
      <c r="D4318" t="inlineStr">
        <is>
          <t>VÄSTRA GÖTALANDS LÄN</t>
        </is>
      </c>
      <c r="E4318" t="inlineStr">
        <is>
          <t>VÄNERSBORG</t>
        </is>
      </c>
      <c r="F4318" t="inlineStr">
        <is>
          <t>Sveaskog</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25982-2025</t>
        </is>
      </c>
      <c r="B4319" s="1" t="n">
        <v>45804.63818287037</v>
      </c>
      <c r="C4319" s="1" t="n">
        <v>46011</v>
      </c>
      <c r="D4319" t="inlineStr">
        <is>
          <t>VÄSTRA GÖTALANDS LÄN</t>
        </is>
      </c>
      <c r="E4319" t="inlineStr">
        <is>
          <t>KARLSBORG</t>
        </is>
      </c>
      <c r="F4319" t="inlineStr">
        <is>
          <t>Övriga Aktiebolag</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39082-2025</t>
        </is>
      </c>
      <c r="B4320" s="1" t="n">
        <v>45888.4877662037</v>
      </c>
      <c r="C4320" s="1" t="n">
        <v>46011</v>
      </c>
      <c r="D4320" t="inlineStr">
        <is>
          <t>VÄSTRA GÖTALANDS LÄN</t>
        </is>
      </c>
      <c r="E4320" t="inlineStr">
        <is>
          <t>BORÅS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29598-2025</t>
        </is>
      </c>
      <c r="B4321" s="1" t="n">
        <v>45825.40863425926</v>
      </c>
      <c r="C4321" s="1" t="n">
        <v>46011</v>
      </c>
      <c r="D4321" t="inlineStr">
        <is>
          <t>VÄSTRA GÖTALANDS LÄN</t>
        </is>
      </c>
      <c r="E4321" t="inlineStr">
        <is>
          <t>ÅMÅL</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2145-2025</t>
        </is>
      </c>
      <c r="B4322" s="1" t="n">
        <v>45672</v>
      </c>
      <c r="C4322" s="1" t="n">
        <v>46011</v>
      </c>
      <c r="D4322" t="inlineStr">
        <is>
          <t>VÄSTRA GÖTALANDS LÄN</t>
        </is>
      </c>
      <c r="E4322" t="inlineStr">
        <is>
          <t>TIDAHOLM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25594-2025</t>
        </is>
      </c>
      <c r="B4323" s="1" t="n">
        <v>45803</v>
      </c>
      <c r="C4323" s="1" t="n">
        <v>46011</v>
      </c>
      <c r="D4323" t="inlineStr">
        <is>
          <t>VÄSTRA GÖTALANDS LÄN</t>
        </is>
      </c>
      <c r="E4323" t="inlineStr">
        <is>
          <t>GÖTENE</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25623-2025</t>
        </is>
      </c>
      <c r="B4324" s="1" t="n">
        <v>45803.57804398148</v>
      </c>
      <c r="C4324" s="1" t="n">
        <v>46011</v>
      </c>
      <c r="D4324" t="inlineStr">
        <is>
          <t>VÄSTRA GÖTALANDS LÄN</t>
        </is>
      </c>
      <c r="E4324" t="inlineStr">
        <is>
          <t>MELLERUD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25667-2025</t>
        </is>
      </c>
      <c r="B4325" s="1" t="n">
        <v>45803.62251157407</v>
      </c>
      <c r="C4325" s="1" t="n">
        <v>46011</v>
      </c>
      <c r="D4325" t="inlineStr">
        <is>
          <t>VÄSTRA GÖTALANDS LÄN</t>
        </is>
      </c>
      <c r="E4325" t="inlineStr">
        <is>
          <t>BORÅS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25672-2025</t>
        </is>
      </c>
      <c r="B4326" s="1" t="n">
        <v>45803.63070601852</v>
      </c>
      <c r="C4326" s="1" t="n">
        <v>46011</v>
      </c>
      <c r="D4326" t="inlineStr">
        <is>
          <t>VÄSTRA GÖTALANDS LÄN</t>
        </is>
      </c>
      <c r="E4326" t="inlineStr">
        <is>
          <t>MARK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9058-2025</t>
        </is>
      </c>
      <c r="B4327" s="1" t="n">
        <v>45713.64200231482</v>
      </c>
      <c r="C4327" s="1" t="n">
        <v>46011</v>
      </c>
      <c r="D4327" t="inlineStr">
        <is>
          <t>VÄSTRA GÖTALANDS LÄN</t>
        </is>
      </c>
      <c r="E4327" t="inlineStr">
        <is>
          <t>VARA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9519-2025</t>
        </is>
      </c>
      <c r="B4328" s="1" t="n">
        <v>45715.56043981481</v>
      </c>
      <c r="C4328" s="1" t="n">
        <v>46011</v>
      </c>
      <c r="D4328" t="inlineStr">
        <is>
          <t>VÄSTRA GÖTALANDS LÄN</t>
        </is>
      </c>
      <c r="E4328" t="inlineStr">
        <is>
          <t>BORÅS</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4989-2025</t>
        </is>
      </c>
      <c r="B4329" s="1" t="n">
        <v>45691.32849537037</v>
      </c>
      <c r="C4329" s="1" t="n">
        <v>46011</v>
      </c>
      <c r="D4329" t="inlineStr">
        <is>
          <t>VÄSTRA GÖTALANDS LÄN</t>
        </is>
      </c>
      <c r="E4329" t="inlineStr">
        <is>
          <t>MARK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37369-2023</t>
        </is>
      </c>
      <c r="B4330" s="1" t="n">
        <v>45156.50247685185</v>
      </c>
      <c r="C4330" s="1" t="n">
        <v>46011</v>
      </c>
      <c r="D4330" t="inlineStr">
        <is>
          <t>VÄSTRA GÖTALANDS LÄN</t>
        </is>
      </c>
      <c r="E4330" t="inlineStr">
        <is>
          <t>TROLLHÄTTAN</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25698-2025</t>
        </is>
      </c>
      <c r="B4331" s="1" t="n">
        <v>45803.66721064815</v>
      </c>
      <c r="C4331" s="1" t="n">
        <v>46011</v>
      </c>
      <c r="D4331" t="inlineStr">
        <is>
          <t>VÄSTRA GÖTALANDS LÄN</t>
        </is>
      </c>
      <c r="E4331" t="inlineStr">
        <is>
          <t>BOLLEBYGD</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26048-2025</t>
        </is>
      </c>
      <c r="B4332" s="1" t="n">
        <v>45804.71013888889</v>
      </c>
      <c r="C4332" s="1" t="n">
        <v>46011</v>
      </c>
      <c r="D4332" t="inlineStr">
        <is>
          <t>VÄSTRA GÖTALANDS LÄN</t>
        </is>
      </c>
      <c r="E4332" t="inlineStr">
        <is>
          <t>ULRICEHAMN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25435-2025</t>
        </is>
      </c>
      <c r="B4333" s="1" t="n">
        <v>45800.81108796296</v>
      </c>
      <c r="C4333" s="1" t="n">
        <v>46011</v>
      </c>
      <c r="D4333" t="inlineStr">
        <is>
          <t>VÄSTRA GÖTALANDS LÄN</t>
        </is>
      </c>
      <c r="E4333" t="inlineStr">
        <is>
          <t>GÖTENE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23937-2025</t>
        </is>
      </c>
      <c r="B4334" s="1" t="n">
        <v>45795.90994212963</v>
      </c>
      <c r="C4334" s="1" t="n">
        <v>46011</v>
      </c>
      <c r="D4334" t="inlineStr">
        <is>
          <t>VÄSTRA GÖTALANDS LÄN</t>
        </is>
      </c>
      <c r="E4334" t="inlineStr">
        <is>
          <t>ULRICEHAMN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38987-2025</t>
        </is>
      </c>
      <c r="B4335" s="1" t="n">
        <v>45888.31350694445</v>
      </c>
      <c r="C4335" s="1" t="n">
        <v>46011</v>
      </c>
      <c r="D4335" t="inlineStr">
        <is>
          <t>VÄSTRA GÖTALANDS LÄN</t>
        </is>
      </c>
      <c r="E4335" t="inlineStr">
        <is>
          <t>TÖREBODA</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9308-2025</t>
        </is>
      </c>
      <c r="B4336" s="1" t="n">
        <v>45714.6790625</v>
      </c>
      <c r="C4336" s="1" t="n">
        <v>46011</v>
      </c>
      <c r="D4336" t="inlineStr">
        <is>
          <t>VÄSTRA GÖTALANDS LÄN</t>
        </is>
      </c>
      <c r="E4336" t="inlineStr">
        <is>
          <t>FÄRGELANDA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25509-2025</t>
        </is>
      </c>
      <c r="B4337" s="1" t="n">
        <v>45803.35596064815</v>
      </c>
      <c r="C4337" s="1" t="n">
        <v>46011</v>
      </c>
      <c r="D4337" t="inlineStr">
        <is>
          <t>VÄSTRA GÖTALANDS LÄN</t>
        </is>
      </c>
      <c r="E4337" t="inlineStr">
        <is>
          <t>HERRLJUNGA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3908-2025</t>
        </is>
      </c>
      <c r="B4338" s="1" t="n">
        <v>45684.41334490741</v>
      </c>
      <c r="C4338" s="1" t="n">
        <v>46011</v>
      </c>
      <c r="D4338" t="inlineStr">
        <is>
          <t>VÄSTRA GÖTALANDS LÄN</t>
        </is>
      </c>
      <c r="E4338" t="inlineStr">
        <is>
          <t>HERRLJUNGA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28397-2025</t>
        </is>
      </c>
      <c r="B4339" s="1" t="n">
        <v>45819.34091435185</v>
      </c>
      <c r="C4339" s="1" t="n">
        <v>46011</v>
      </c>
      <c r="D4339" t="inlineStr">
        <is>
          <t>VÄSTRA GÖTALANDS LÄN</t>
        </is>
      </c>
      <c r="E4339" t="inlineStr">
        <is>
          <t>MUNKEDAL</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17360-2024</t>
        </is>
      </c>
      <c r="B4340" s="1" t="n">
        <v>45414.60575231481</v>
      </c>
      <c r="C4340" s="1" t="n">
        <v>46011</v>
      </c>
      <c r="D4340" t="inlineStr">
        <is>
          <t>VÄSTRA GÖTALANDS LÄN</t>
        </is>
      </c>
      <c r="E4340" t="inlineStr">
        <is>
          <t>TÖREBODA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25755-2025</t>
        </is>
      </c>
      <c r="B4341" s="1" t="n">
        <v>45804.32085648148</v>
      </c>
      <c r="C4341" s="1" t="n">
        <v>46011</v>
      </c>
      <c r="D4341" t="inlineStr">
        <is>
          <t>VÄSTRA GÖTALANDS LÄN</t>
        </is>
      </c>
      <c r="E4341" t="inlineStr">
        <is>
          <t>SVENLJUNGA</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25780-2025</t>
        </is>
      </c>
      <c r="B4342" s="1" t="n">
        <v>45804.36298611111</v>
      </c>
      <c r="C4342" s="1" t="n">
        <v>46011</v>
      </c>
      <c r="D4342" t="inlineStr">
        <is>
          <t>VÄSTRA GÖTALANDS LÄN</t>
        </is>
      </c>
      <c r="E4342" t="inlineStr">
        <is>
          <t>GÖTENE</t>
        </is>
      </c>
      <c r="F4342" t="inlineStr">
        <is>
          <t>Sveaskog</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56978-2024</t>
        </is>
      </c>
      <c r="B4343" s="1" t="n">
        <v>45628.67807870371</v>
      </c>
      <c r="C4343" s="1" t="n">
        <v>46011</v>
      </c>
      <c r="D4343" t="inlineStr">
        <is>
          <t>VÄSTRA GÖTALANDS LÄN</t>
        </is>
      </c>
      <c r="E4343" t="inlineStr">
        <is>
          <t>MARIESTAD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58456-2024</t>
        </is>
      </c>
      <c r="B4344" s="1" t="n">
        <v>45635.36013888889</v>
      </c>
      <c r="C4344" s="1" t="n">
        <v>46011</v>
      </c>
      <c r="D4344" t="inlineStr">
        <is>
          <t>VÄSTRA GÖTALANDS LÄN</t>
        </is>
      </c>
      <c r="E4344" t="inlineStr">
        <is>
          <t>SKÖVDE</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25795-2025</t>
        </is>
      </c>
      <c r="B4345" s="1" t="n">
        <v>45804.39546296297</v>
      </c>
      <c r="C4345" s="1" t="n">
        <v>46011</v>
      </c>
      <c r="D4345" t="inlineStr">
        <is>
          <t>VÄSTRA GÖTALANDS LÄN</t>
        </is>
      </c>
      <c r="E4345" t="inlineStr">
        <is>
          <t>DALS-ED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25817-2025</t>
        </is>
      </c>
      <c r="B4346" s="1" t="n">
        <v>45804.4325462963</v>
      </c>
      <c r="C4346" s="1" t="n">
        <v>46011</v>
      </c>
      <c r="D4346" t="inlineStr">
        <is>
          <t>VÄSTRA GÖTALANDS LÄN</t>
        </is>
      </c>
      <c r="E4346" t="inlineStr">
        <is>
          <t>ÅMÅL</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62629-2022</t>
        </is>
      </c>
      <c r="B4347" s="1" t="n">
        <v>44925</v>
      </c>
      <c r="C4347" s="1" t="n">
        <v>46011</v>
      </c>
      <c r="D4347" t="inlineStr">
        <is>
          <t>VÄSTRA GÖTALANDS LÄN</t>
        </is>
      </c>
      <c r="E4347" t="inlineStr">
        <is>
          <t>LIDKÖPING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58702-2024</t>
        </is>
      </c>
      <c r="B4348" s="1" t="n">
        <v>45635.64003472222</v>
      </c>
      <c r="C4348" s="1" t="n">
        <v>46011</v>
      </c>
      <c r="D4348" t="inlineStr">
        <is>
          <t>VÄSTRA GÖTALANDS LÄN</t>
        </is>
      </c>
      <c r="E4348" t="inlineStr">
        <is>
          <t>FALKÖPING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25705-2025</t>
        </is>
      </c>
      <c r="B4349" s="1" t="n">
        <v>45803.67650462963</v>
      </c>
      <c r="C4349" s="1" t="n">
        <v>46011</v>
      </c>
      <c r="D4349" t="inlineStr">
        <is>
          <t>VÄSTRA GÖTALANDS LÄN</t>
        </is>
      </c>
      <c r="E4349" t="inlineStr">
        <is>
          <t>BORÅS</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25896-2025</t>
        </is>
      </c>
      <c r="B4350" s="1" t="n">
        <v>45804.54657407408</v>
      </c>
      <c r="C4350" s="1" t="n">
        <v>46011</v>
      </c>
      <c r="D4350" t="inlineStr">
        <is>
          <t>VÄSTRA GÖTALANDS LÄN</t>
        </is>
      </c>
      <c r="E4350" t="inlineStr">
        <is>
          <t>ALINGSÅS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28267-2023</t>
        </is>
      </c>
      <c r="B4351" s="1" t="n">
        <v>45099</v>
      </c>
      <c r="C4351" s="1" t="n">
        <v>46011</v>
      </c>
      <c r="D4351" t="inlineStr">
        <is>
          <t>VÄSTRA GÖTALANDS LÄN</t>
        </is>
      </c>
      <c r="E4351" t="inlineStr">
        <is>
          <t>GÖTENE</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28273-2023</t>
        </is>
      </c>
      <c r="B4352" s="1" t="n">
        <v>45099.62096064815</v>
      </c>
      <c r="C4352" s="1" t="n">
        <v>46011</v>
      </c>
      <c r="D4352" t="inlineStr">
        <is>
          <t>VÄSTRA GÖTALANDS LÄN</t>
        </is>
      </c>
      <c r="E4352" t="inlineStr">
        <is>
          <t>GÖTENE</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28296-2023</t>
        </is>
      </c>
      <c r="B4353" s="1" t="n">
        <v>45099.64145833333</v>
      </c>
      <c r="C4353" s="1" t="n">
        <v>46011</v>
      </c>
      <c r="D4353" t="inlineStr">
        <is>
          <t>VÄSTRA GÖTALANDS LÄN</t>
        </is>
      </c>
      <c r="E4353" t="inlineStr">
        <is>
          <t>TIDAHOLM</t>
        </is>
      </c>
      <c r="F4353" t="inlineStr">
        <is>
          <t>Kyrkan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21106-2025</t>
        </is>
      </c>
      <c r="B4354" s="1" t="n">
        <v>45777.67112268518</v>
      </c>
      <c r="C4354" s="1" t="n">
        <v>46011</v>
      </c>
      <c r="D4354" t="inlineStr">
        <is>
          <t>VÄSTRA GÖTALANDS LÄN</t>
        </is>
      </c>
      <c r="E4354" t="inlineStr">
        <is>
          <t>ÅMÅL</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12238-2025</t>
        </is>
      </c>
      <c r="B4355" s="1" t="n">
        <v>45729.58333333334</v>
      </c>
      <c r="C4355" s="1" t="n">
        <v>46011</v>
      </c>
      <c r="D4355" t="inlineStr">
        <is>
          <t>VÄSTRA GÖTALANDS LÄN</t>
        </is>
      </c>
      <c r="E4355" t="inlineStr">
        <is>
          <t>STRÖMSTAD</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39130-2025</t>
        </is>
      </c>
      <c r="B4356" s="1" t="n">
        <v>45888.58700231482</v>
      </c>
      <c r="C4356" s="1" t="n">
        <v>46011</v>
      </c>
      <c r="D4356" t="inlineStr">
        <is>
          <t>VÄSTRA GÖTALANDS LÄN</t>
        </is>
      </c>
      <c r="E4356" t="inlineStr">
        <is>
          <t>DALS-ED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25911-2025</t>
        </is>
      </c>
      <c r="B4357" s="1" t="n">
        <v>45804.55912037037</v>
      </c>
      <c r="C4357" s="1" t="n">
        <v>46011</v>
      </c>
      <c r="D4357" t="inlineStr">
        <is>
          <t>VÄSTRA GÖTALANDS LÄN</t>
        </is>
      </c>
      <c r="E4357" t="inlineStr">
        <is>
          <t>VÅRGÅRDA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37032-2025</t>
        </is>
      </c>
      <c r="B4358" s="1" t="n">
        <v>45874.96774305555</v>
      </c>
      <c r="C4358" s="1" t="n">
        <v>46011</v>
      </c>
      <c r="D4358" t="inlineStr">
        <is>
          <t>VÄSTRA GÖTALANDS LÄN</t>
        </is>
      </c>
      <c r="E4358" t="inlineStr">
        <is>
          <t>SKARA</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12977-2025</t>
        </is>
      </c>
      <c r="B4359" s="1" t="n">
        <v>45734.45465277778</v>
      </c>
      <c r="C4359" s="1" t="n">
        <v>46011</v>
      </c>
      <c r="D4359" t="inlineStr">
        <is>
          <t>VÄSTRA GÖTALANDS LÄN</t>
        </is>
      </c>
      <c r="E4359" t="inlineStr">
        <is>
          <t>MÖLNDAL</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14817-2022</t>
        </is>
      </c>
      <c r="B4360" s="1" t="n">
        <v>44656.50299768519</v>
      </c>
      <c r="C4360" s="1" t="n">
        <v>46011</v>
      </c>
      <c r="D4360" t="inlineStr">
        <is>
          <t>VÄSTRA GÖTALANDS LÄN</t>
        </is>
      </c>
      <c r="E4360" t="inlineStr">
        <is>
          <t>ULRICEHAMN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66960-2021</t>
        </is>
      </c>
      <c r="B4361" s="1" t="n">
        <v>44522</v>
      </c>
      <c r="C4361" s="1" t="n">
        <v>46011</v>
      </c>
      <c r="D4361" t="inlineStr">
        <is>
          <t>VÄSTRA GÖTALANDS LÄN</t>
        </is>
      </c>
      <c r="E4361" t="inlineStr">
        <is>
          <t>TROLLHÄTTAN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38804-2025</t>
        </is>
      </c>
      <c r="B4362" s="1" t="n">
        <v>45887.46581018518</v>
      </c>
      <c r="C4362" s="1" t="n">
        <v>46011</v>
      </c>
      <c r="D4362" t="inlineStr">
        <is>
          <t>VÄSTRA GÖTALANDS LÄN</t>
        </is>
      </c>
      <c r="E4362" t="inlineStr">
        <is>
          <t>TANUM</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25666-2025</t>
        </is>
      </c>
      <c r="B4363" s="1" t="n">
        <v>45803.62123842593</v>
      </c>
      <c r="C4363" s="1" t="n">
        <v>46011</v>
      </c>
      <c r="D4363" t="inlineStr">
        <is>
          <t>VÄSTRA GÖTALANDS LÄN</t>
        </is>
      </c>
      <c r="E4363" t="inlineStr">
        <is>
          <t>BORÅS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25822-2025</t>
        </is>
      </c>
      <c r="B4364" s="1" t="n">
        <v>45804.43789351852</v>
      </c>
      <c r="C4364" s="1" t="n">
        <v>46011</v>
      </c>
      <c r="D4364" t="inlineStr">
        <is>
          <t>VÄSTRA GÖTALANDS LÄN</t>
        </is>
      </c>
      <c r="E4364" t="inlineStr">
        <is>
          <t>ÅMÅL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15567-2022</t>
        </is>
      </c>
      <c r="B4365" s="1" t="n">
        <v>44662</v>
      </c>
      <c r="C4365" s="1" t="n">
        <v>46011</v>
      </c>
      <c r="D4365" t="inlineStr">
        <is>
          <t>VÄSTRA GÖTALANDS LÄN</t>
        </is>
      </c>
      <c r="E4365" t="inlineStr">
        <is>
          <t>LILLA EDET</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35588-2023</t>
        </is>
      </c>
      <c r="B4366" s="1" t="n">
        <v>45146</v>
      </c>
      <c r="C4366" s="1" t="n">
        <v>46011</v>
      </c>
      <c r="D4366" t="inlineStr">
        <is>
          <t>VÄSTRA GÖTALANDS LÄN</t>
        </is>
      </c>
      <c r="E4366" t="inlineStr">
        <is>
          <t>VARA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6570-2022</t>
        </is>
      </c>
      <c r="B4367" s="1" t="n">
        <v>44601.60956018518</v>
      </c>
      <c r="C4367" s="1" t="n">
        <v>46011</v>
      </c>
      <c r="D4367" t="inlineStr">
        <is>
          <t>VÄSTRA GÖTALANDS LÄN</t>
        </is>
      </c>
      <c r="E4367" t="inlineStr">
        <is>
          <t>DALS-ED</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6630-2022</t>
        </is>
      </c>
      <c r="B4368" s="1" t="n">
        <v>44601</v>
      </c>
      <c r="C4368" s="1" t="n">
        <v>46011</v>
      </c>
      <c r="D4368" t="inlineStr">
        <is>
          <t>VÄSTRA GÖTALANDS LÄN</t>
        </is>
      </c>
      <c r="E4368" t="inlineStr">
        <is>
          <t>TANUM</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25436-2025</t>
        </is>
      </c>
      <c r="B4369" s="1" t="n">
        <v>45800.81622685185</v>
      </c>
      <c r="C4369" s="1" t="n">
        <v>46011</v>
      </c>
      <c r="D4369" t="inlineStr">
        <is>
          <t>VÄSTRA GÖTALANDS LÄN</t>
        </is>
      </c>
      <c r="E4369" t="inlineStr">
        <is>
          <t>GÖTENE</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35390-2025</t>
        </is>
      </c>
      <c r="B4370" s="1" t="n">
        <v>45855</v>
      </c>
      <c r="C4370" s="1" t="n">
        <v>46011</v>
      </c>
      <c r="D4370" t="inlineStr">
        <is>
          <t>VÄSTRA GÖTALANDS LÄN</t>
        </is>
      </c>
      <c r="E4370" t="inlineStr">
        <is>
          <t>MARK</t>
        </is>
      </c>
      <c r="G4370" t="n">
        <v>13.2</v>
      </c>
      <c r="H4370" t="n">
        <v>0</v>
      </c>
      <c r="I4370" t="n">
        <v>0</v>
      </c>
      <c r="J4370" t="n">
        <v>0</v>
      </c>
      <c r="K4370" t="n">
        <v>0</v>
      </c>
      <c r="L4370" t="n">
        <v>0</v>
      </c>
      <c r="M4370" t="n">
        <v>0</v>
      </c>
      <c r="N4370" t="n">
        <v>0</v>
      </c>
      <c r="O4370" t="n">
        <v>0</v>
      </c>
      <c r="P4370" t="n">
        <v>0</v>
      </c>
      <c r="Q4370" t="n">
        <v>0</v>
      </c>
      <c r="R4370" s="2" t="inlineStr"/>
    </row>
    <row r="4371" ht="15" customHeight="1">
      <c r="A4371" t="inlineStr">
        <is>
          <t>A 4289-2025</t>
        </is>
      </c>
      <c r="B4371" s="1" t="n">
        <v>45685.65704861111</v>
      </c>
      <c r="C4371" s="1" t="n">
        <v>46011</v>
      </c>
      <c r="D4371" t="inlineStr">
        <is>
          <t>VÄSTRA GÖTALANDS LÄN</t>
        </is>
      </c>
      <c r="E4371" t="inlineStr">
        <is>
          <t>VARA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6364-2025</t>
        </is>
      </c>
      <c r="B4372" s="1" t="n">
        <v>45699.37768518519</v>
      </c>
      <c r="C4372" s="1" t="n">
        <v>46011</v>
      </c>
      <c r="D4372" t="inlineStr">
        <is>
          <t>VÄSTRA GÖTALANDS LÄN</t>
        </is>
      </c>
      <c r="E4372" t="inlineStr">
        <is>
          <t>UDDEVALLA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25921-2025</t>
        </is>
      </c>
      <c r="B4373" s="1" t="n">
        <v>45804.57174768519</v>
      </c>
      <c r="C4373" s="1" t="n">
        <v>46011</v>
      </c>
      <c r="D4373" t="inlineStr">
        <is>
          <t>VÄSTRA GÖTALANDS LÄN</t>
        </is>
      </c>
      <c r="E4373" t="inlineStr">
        <is>
          <t>ULRICEHAMN</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25946-2025</t>
        </is>
      </c>
      <c r="B4374" s="1" t="n">
        <v>45804.59502314815</v>
      </c>
      <c r="C4374" s="1" t="n">
        <v>46011</v>
      </c>
      <c r="D4374" t="inlineStr">
        <is>
          <t>VÄSTRA GÖTALANDS LÄN</t>
        </is>
      </c>
      <c r="E4374" t="inlineStr">
        <is>
          <t>MARIESTAD</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33933-2024</t>
        </is>
      </c>
      <c r="B4375" s="1" t="n">
        <v>45522</v>
      </c>
      <c r="C4375" s="1" t="n">
        <v>46011</v>
      </c>
      <c r="D4375" t="inlineStr">
        <is>
          <t>VÄSTRA GÖTALANDS LÄN</t>
        </is>
      </c>
      <c r="E4375" t="inlineStr">
        <is>
          <t>TANUM</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8971-2024</t>
        </is>
      </c>
      <c r="B4376" s="1" t="n">
        <v>45357.49171296296</v>
      </c>
      <c r="C4376" s="1" t="n">
        <v>46011</v>
      </c>
      <c r="D4376" t="inlineStr">
        <is>
          <t>VÄSTRA GÖTALANDS LÄN</t>
        </is>
      </c>
      <c r="E4376" t="inlineStr">
        <is>
          <t>FALKÖPING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29392-2024</t>
        </is>
      </c>
      <c r="B4377" s="1" t="n">
        <v>45483</v>
      </c>
      <c r="C4377" s="1" t="n">
        <v>46011</v>
      </c>
      <c r="D4377" t="inlineStr">
        <is>
          <t>VÄSTRA GÖTALANDS LÄN</t>
        </is>
      </c>
      <c r="E4377" t="inlineStr">
        <is>
          <t>TIDAHOLM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29489-2025</t>
        </is>
      </c>
      <c r="B4378" s="1" t="n">
        <v>45824.76096064815</v>
      </c>
      <c r="C4378" s="1" t="n">
        <v>46011</v>
      </c>
      <c r="D4378" t="inlineStr">
        <is>
          <t>VÄSTRA GÖTALANDS LÄN</t>
        </is>
      </c>
      <c r="E4378" t="inlineStr">
        <is>
          <t>KARLSBORG</t>
        </is>
      </c>
      <c r="F4378" t="inlineStr">
        <is>
          <t>Övriga Aktiebolag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64453-2021</t>
        </is>
      </c>
      <c r="B4379" s="1" t="n">
        <v>44511.50591435185</v>
      </c>
      <c r="C4379" s="1" t="n">
        <v>46011</v>
      </c>
      <c r="D4379" t="inlineStr">
        <is>
          <t>VÄSTRA GÖTALANDS LÄN</t>
        </is>
      </c>
      <c r="E4379" t="inlineStr">
        <is>
          <t>TRANEMO</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25743-2025</t>
        </is>
      </c>
      <c r="B4380" s="1" t="n">
        <v>45803.97512731481</v>
      </c>
      <c r="C4380" s="1" t="n">
        <v>46011</v>
      </c>
      <c r="D4380" t="inlineStr">
        <is>
          <t>VÄSTRA GÖTALANDS LÄN</t>
        </is>
      </c>
      <c r="E4380" t="inlineStr">
        <is>
          <t>FALKÖPING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37431-2024</t>
        </is>
      </c>
      <c r="B4381" s="1" t="n">
        <v>45540.65302083334</v>
      </c>
      <c r="C4381" s="1" t="n">
        <v>46011</v>
      </c>
      <c r="D4381" t="inlineStr">
        <is>
          <t>VÄSTRA GÖTALANDS LÄN</t>
        </is>
      </c>
      <c r="E4381" t="inlineStr">
        <is>
          <t>UDDEVALLA</t>
        </is>
      </c>
      <c r="F4381" t="inlineStr">
        <is>
          <t>Kyrkan</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35391-2025</t>
        </is>
      </c>
      <c r="B4382" s="1" t="n">
        <v>45855</v>
      </c>
      <c r="C4382" s="1" t="n">
        <v>46011</v>
      </c>
      <c r="D4382" t="inlineStr">
        <is>
          <t>VÄSTRA GÖTALANDS LÄN</t>
        </is>
      </c>
      <c r="E4382" t="inlineStr">
        <is>
          <t>MARK</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35393-2025</t>
        </is>
      </c>
      <c r="B4383" s="1" t="n">
        <v>45855</v>
      </c>
      <c r="C4383" s="1" t="n">
        <v>46011</v>
      </c>
      <c r="D4383" t="inlineStr">
        <is>
          <t>VÄSTRA GÖTALANDS LÄN</t>
        </is>
      </c>
      <c r="E4383" t="inlineStr">
        <is>
          <t>MARK</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13346-2024</t>
        </is>
      </c>
      <c r="B4384" s="1" t="n">
        <v>45386</v>
      </c>
      <c r="C4384" s="1" t="n">
        <v>46011</v>
      </c>
      <c r="D4384" t="inlineStr">
        <is>
          <t>VÄSTRA GÖTALANDS LÄN</t>
        </is>
      </c>
      <c r="E4384" t="inlineStr">
        <is>
          <t>BENGTSFORS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22017-2025</t>
        </is>
      </c>
      <c r="B4385" s="1" t="n">
        <v>45784.78842592592</v>
      </c>
      <c r="C4385" s="1" t="n">
        <v>46011</v>
      </c>
      <c r="D4385" t="inlineStr">
        <is>
          <t>VÄSTRA GÖTALANDS LÄN</t>
        </is>
      </c>
      <c r="E4385" t="inlineStr">
        <is>
          <t>FÄRGELANDA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23784-2025</t>
        </is>
      </c>
      <c r="B4386" s="1" t="n">
        <v>45793.51618055555</v>
      </c>
      <c r="C4386" s="1" t="n">
        <v>46011</v>
      </c>
      <c r="D4386" t="inlineStr">
        <is>
          <t>VÄSTRA GÖTALANDS LÄN</t>
        </is>
      </c>
      <c r="E4386" t="inlineStr">
        <is>
          <t>ÅMÅL</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10728-2023</t>
        </is>
      </c>
      <c r="B4387" s="1" t="n">
        <v>44988.67260416667</v>
      </c>
      <c r="C4387" s="1" t="n">
        <v>46011</v>
      </c>
      <c r="D4387" t="inlineStr">
        <is>
          <t>VÄSTRA GÖTALANDS LÄN</t>
        </is>
      </c>
      <c r="E4387" t="inlineStr">
        <is>
          <t>VARA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15182-2025</t>
        </is>
      </c>
      <c r="B4388" s="1" t="n">
        <v>45744</v>
      </c>
      <c r="C4388" s="1" t="n">
        <v>46011</v>
      </c>
      <c r="D4388" t="inlineStr">
        <is>
          <t>VÄSTRA GÖTALANDS LÄN</t>
        </is>
      </c>
      <c r="E4388" t="inlineStr">
        <is>
          <t>BENGTSFORS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13004-2025</t>
        </is>
      </c>
      <c r="B4389" s="1" t="n">
        <v>45734</v>
      </c>
      <c r="C4389" s="1" t="n">
        <v>46011</v>
      </c>
      <c r="D4389" t="inlineStr">
        <is>
          <t>VÄSTRA GÖTALANDS LÄN</t>
        </is>
      </c>
      <c r="E4389" t="inlineStr">
        <is>
          <t>SVENLJUNGA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56480-2024</t>
        </is>
      </c>
      <c r="B4390" s="1" t="n">
        <v>45625.47077546296</v>
      </c>
      <c r="C4390" s="1" t="n">
        <v>46011</v>
      </c>
      <c r="D4390" t="inlineStr">
        <is>
          <t>VÄSTRA GÖTALANDS LÄN</t>
        </is>
      </c>
      <c r="E4390" t="inlineStr">
        <is>
          <t>VÄNERSBORG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58324-2022</t>
        </is>
      </c>
      <c r="B4391" s="1" t="n">
        <v>44901</v>
      </c>
      <c r="C4391" s="1" t="n">
        <v>46011</v>
      </c>
      <c r="D4391" t="inlineStr">
        <is>
          <t>VÄSTRA GÖTALANDS LÄN</t>
        </is>
      </c>
      <c r="E4391" t="inlineStr">
        <is>
          <t>FÄRGELANDA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26133-2025</t>
        </is>
      </c>
      <c r="B4392" s="1" t="n">
        <v>45805.41142361111</v>
      </c>
      <c r="C4392" s="1" t="n">
        <v>46011</v>
      </c>
      <c r="D4392" t="inlineStr">
        <is>
          <t>VÄSTRA GÖTALANDS LÄN</t>
        </is>
      </c>
      <c r="E4392" t="inlineStr">
        <is>
          <t>BORÅS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20600-2025</t>
        </is>
      </c>
      <c r="B4393" s="1" t="n">
        <v>45775.79165509259</v>
      </c>
      <c r="C4393" s="1" t="n">
        <v>46011</v>
      </c>
      <c r="D4393" t="inlineStr">
        <is>
          <t>VÄSTRA GÖTALANDS LÄN</t>
        </is>
      </c>
      <c r="E4393" t="inlineStr">
        <is>
          <t>SKÖVDE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21328-2025</t>
        </is>
      </c>
      <c r="B4394" s="1" t="n">
        <v>45782.35883101852</v>
      </c>
      <c r="C4394" s="1" t="n">
        <v>46011</v>
      </c>
      <c r="D4394" t="inlineStr">
        <is>
          <t>VÄSTRA GÖTALANDS LÄN</t>
        </is>
      </c>
      <c r="E4394" t="inlineStr">
        <is>
          <t>ALINGSÅS</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36291-2024</t>
        </is>
      </c>
      <c r="B4395" s="1" t="n">
        <v>45534.59996527778</v>
      </c>
      <c r="C4395" s="1" t="n">
        <v>46011</v>
      </c>
      <c r="D4395" t="inlineStr">
        <is>
          <t>VÄSTRA GÖTALANDS LÄN</t>
        </is>
      </c>
      <c r="E4395" t="inlineStr">
        <is>
          <t>ALINGSÅS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6161-2023</t>
        </is>
      </c>
      <c r="B4396" s="1" t="n">
        <v>44964</v>
      </c>
      <c r="C4396" s="1" t="n">
        <v>46011</v>
      </c>
      <c r="D4396" t="inlineStr">
        <is>
          <t>VÄSTRA GÖTALANDS LÄN</t>
        </is>
      </c>
      <c r="E4396" t="inlineStr">
        <is>
          <t>BORÅS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38948-2025</t>
        </is>
      </c>
      <c r="B4397" s="1" t="n">
        <v>45887.65668981482</v>
      </c>
      <c r="C4397" s="1" t="n">
        <v>46011</v>
      </c>
      <c r="D4397" t="inlineStr">
        <is>
          <t>VÄSTRA GÖTALANDS LÄN</t>
        </is>
      </c>
      <c r="E4397" t="inlineStr">
        <is>
          <t>MARIESTAD</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38994-2025</t>
        </is>
      </c>
      <c r="B4398" s="1" t="n">
        <v>45888.33225694444</v>
      </c>
      <c r="C4398" s="1" t="n">
        <v>46011</v>
      </c>
      <c r="D4398" t="inlineStr">
        <is>
          <t>VÄSTRA GÖTALANDS LÄN</t>
        </is>
      </c>
      <c r="E4398" t="inlineStr">
        <is>
          <t>STENUNGSUND</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6197-2023</t>
        </is>
      </c>
      <c r="B4399" s="1" t="n">
        <v>44964</v>
      </c>
      <c r="C4399" s="1" t="n">
        <v>46011</v>
      </c>
      <c r="D4399" t="inlineStr">
        <is>
          <t>VÄSTRA GÖTALANDS LÄN</t>
        </is>
      </c>
      <c r="E4399" t="inlineStr">
        <is>
          <t>MUNKEDAL</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26377-2025</t>
        </is>
      </c>
      <c r="B4400" s="1" t="n">
        <v>45806.48881944444</v>
      </c>
      <c r="C4400" s="1" t="n">
        <v>46011</v>
      </c>
      <c r="D4400" t="inlineStr">
        <is>
          <t>VÄSTRA GÖTALANDS LÄN</t>
        </is>
      </c>
      <c r="E4400" t="inlineStr">
        <is>
          <t>ULRICEHAMN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23703-2025</t>
        </is>
      </c>
      <c r="B4401" s="1" t="n">
        <v>45793.3621875</v>
      </c>
      <c r="C4401" s="1" t="n">
        <v>46011</v>
      </c>
      <c r="D4401" t="inlineStr">
        <is>
          <t>VÄSTRA GÖTALANDS LÄN</t>
        </is>
      </c>
      <c r="E4401" t="inlineStr">
        <is>
          <t>BENGTSFORS</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24283-2025</t>
        </is>
      </c>
      <c r="B4402" s="1" t="n">
        <v>45797.45854166667</v>
      </c>
      <c r="C4402" s="1" t="n">
        <v>46011</v>
      </c>
      <c r="D4402" t="inlineStr">
        <is>
          <t>VÄSTRA GÖTALANDS LÄN</t>
        </is>
      </c>
      <c r="E4402" t="inlineStr">
        <is>
          <t>ULRICEHAMN</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17487-2025</t>
        </is>
      </c>
      <c r="B4403" s="1" t="n">
        <v>45757.50351851852</v>
      </c>
      <c r="C4403" s="1" t="n">
        <v>46011</v>
      </c>
      <c r="D4403" t="inlineStr">
        <is>
          <t>VÄSTRA GÖTALANDS LÄN</t>
        </is>
      </c>
      <c r="E4403" t="inlineStr">
        <is>
          <t>FÄRGELANDA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26384-2025</t>
        </is>
      </c>
      <c r="B4404" s="1" t="n">
        <v>45806.49756944444</v>
      </c>
      <c r="C4404" s="1" t="n">
        <v>46011</v>
      </c>
      <c r="D4404" t="inlineStr">
        <is>
          <t>VÄSTRA GÖTALANDS LÄN</t>
        </is>
      </c>
      <c r="E4404" t="inlineStr">
        <is>
          <t>ULRICEHAMN</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57647-2022</t>
        </is>
      </c>
      <c r="B4405" s="1" t="n">
        <v>44897</v>
      </c>
      <c r="C4405" s="1" t="n">
        <v>46011</v>
      </c>
      <c r="D4405" t="inlineStr">
        <is>
          <t>VÄSTRA GÖTALANDS LÄN</t>
        </is>
      </c>
      <c r="E4405" t="inlineStr">
        <is>
          <t>HJO</t>
        </is>
      </c>
      <c r="G4405" t="n">
        <v>8.699999999999999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1382-2024</t>
        </is>
      </c>
      <c r="B4406" s="1" t="n">
        <v>45303.56011574074</v>
      </c>
      <c r="C4406" s="1" t="n">
        <v>46011</v>
      </c>
      <c r="D4406" t="inlineStr">
        <is>
          <t>VÄSTRA GÖTALANDS LÄN</t>
        </is>
      </c>
      <c r="E4406" t="inlineStr">
        <is>
          <t>LILLA EDET</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1384-2024</t>
        </is>
      </c>
      <c r="B4407" s="1" t="n">
        <v>45303</v>
      </c>
      <c r="C4407" s="1" t="n">
        <v>46011</v>
      </c>
      <c r="D4407" t="inlineStr">
        <is>
          <t>VÄSTRA GÖTALANDS LÄN</t>
        </is>
      </c>
      <c r="E4407" t="inlineStr">
        <is>
          <t>TRANEMO</t>
        </is>
      </c>
      <c r="G4407" t="n">
        <v>10.6</v>
      </c>
      <c r="H4407" t="n">
        <v>0</v>
      </c>
      <c r="I4407" t="n">
        <v>0</v>
      </c>
      <c r="J4407" t="n">
        <v>0</v>
      </c>
      <c r="K4407" t="n">
        <v>0</v>
      </c>
      <c r="L4407" t="n">
        <v>0</v>
      </c>
      <c r="M4407" t="n">
        <v>0</v>
      </c>
      <c r="N4407" t="n">
        <v>0</v>
      </c>
      <c r="O4407" t="n">
        <v>0</v>
      </c>
      <c r="P4407" t="n">
        <v>0</v>
      </c>
      <c r="Q4407" t="n">
        <v>0</v>
      </c>
      <c r="R4407" s="2" t="inlineStr"/>
    </row>
    <row r="4408" ht="15" customHeight="1">
      <c r="A4408" t="inlineStr">
        <is>
          <t>A 38702-2025</t>
        </is>
      </c>
      <c r="B4408" s="1" t="n">
        <v>45885.05005787037</v>
      </c>
      <c r="C4408" s="1" t="n">
        <v>46011</v>
      </c>
      <c r="D4408" t="inlineStr">
        <is>
          <t>VÄSTRA GÖTALANDS LÄN</t>
        </is>
      </c>
      <c r="E4408" t="inlineStr">
        <is>
          <t>LIDKÖPING</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38704-2025</t>
        </is>
      </c>
      <c r="B4409" s="1" t="n">
        <v>45885.43899305556</v>
      </c>
      <c r="C4409" s="1" t="n">
        <v>46011</v>
      </c>
      <c r="D4409" t="inlineStr">
        <is>
          <t>VÄSTRA GÖTALANDS LÄN</t>
        </is>
      </c>
      <c r="E4409" t="inlineStr">
        <is>
          <t>TÖREBODA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1390-2024</t>
        </is>
      </c>
      <c r="B4410" s="1" t="n">
        <v>45303.57658564814</v>
      </c>
      <c r="C4410" s="1" t="n">
        <v>46011</v>
      </c>
      <c r="D4410" t="inlineStr">
        <is>
          <t>VÄSTRA GÖTALANDS LÄN</t>
        </is>
      </c>
      <c r="E4410" t="inlineStr">
        <is>
          <t>HERRLJUNGA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1395-2024</t>
        </is>
      </c>
      <c r="B4411" s="1" t="n">
        <v>45303</v>
      </c>
      <c r="C4411" s="1" t="n">
        <v>46011</v>
      </c>
      <c r="D4411" t="inlineStr">
        <is>
          <t>VÄSTRA GÖTALANDS LÄN</t>
        </is>
      </c>
      <c r="E4411" t="inlineStr">
        <is>
          <t>BOLLEBYGD</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1412-2024</t>
        </is>
      </c>
      <c r="B4412" s="1" t="n">
        <v>45303.60302083333</v>
      </c>
      <c r="C4412" s="1" t="n">
        <v>46011</v>
      </c>
      <c r="D4412" t="inlineStr">
        <is>
          <t>VÄSTRA GÖTALANDS LÄN</t>
        </is>
      </c>
      <c r="E4412" t="inlineStr">
        <is>
          <t>TANUM</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9280-2025</t>
        </is>
      </c>
      <c r="B4413" s="1" t="n">
        <v>45714.64130787037</v>
      </c>
      <c r="C4413" s="1" t="n">
        <v>46011</v>
      </c>
      <c r="D4413" t="inlineStr">
        <is>
          <t>VÄSTRA GÖTALANDS LÄN</t>
        </is>
      </c>
      <c r="E4413" t="inlineStr">
        <is>
          <t>FÄRGELANDA</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53047-2024</t>
        </is>
      </c>
      <c r="B4414" s="1" t="n">
        <v>45611.45182870371</v>
      </c>
      <c r="C4414" s="1" t="n">
        <v>46011</v>
      </c>
      <c r="D4414" t="inlineStr">
        <is>
          <t>VÄSTRA GÖTALANDS LÄN</t>
        </is>
      </c>
      <c r="E4414" t="inlineStr">
        <is>
          <t>FÄRGELANDA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2152-2025</t>
        </is>
      </c>
      <c r="B4415" s="1" t="n">
        <v>45672</v>
      </c>
      <c r="C4415" s="1" t="n">
        <v>46011</v>
      </c>
      <c r="D4415" t="inlineStr">
        <is>
          <t>VÄSTRA GÖTALANDS LÄN</t>
        </is>
      </c>
      <c r="E4415" t="inlineStr">
        <is>
          <t>TIDAHOLM</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25693-2025</t>
        </is>
      </c>
      <c r="B4416" s="1" t="n">
        <v>45803.6643287037</v>
      </c>
      <c r="C4416" s="1" t="n">
        <v>46011</v>
      </c>
      <c r="D4416" t="inlineStr">
        <is>
          <t>VÄSTRA GÖTALANDS LÄN</t>
        </is>
      </c>
      <c r="E4416" t="inlineStr">
        <is>
          <t>ÅMÅL</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24564-2025</t>
        </is>
      </c>
      <c r="B4417" s="1" t="n">
        <v>45798.46134259259</v>
      </c>
      <c r="C4417" s="1" t="n">
        <v>46011</v>
      </c>
      <c r="D4417" t="inlineStr">
        <is>
          <t>VÄSTRA GÖTALANDS LÄN</t>
        </is>
      </c>
      <c r="E4417" t="inlineStr">
        <is>
          <t>TROLLHÄTTAN</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24590-2025</t>
        </is>
      </c>
      <c r="B4418" s="1" t="n">
        <v>45798.53462962963</v>
      </c>
      <c r="C4418" s="1" t="n">
        <v>46011</v>
      </c>
      <c r="D4418" t="inlineStr">
        <is>
          <t>VÄSTRA GÖTALANDS LÄN</t>
        </is>
      </c>
      <c r="E4418" t="inlineStr">
        <is>
          <t>MARK</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39032-2025</t>
        </is>
      </c>
      <c r="B4419" s="1" t="n">
        <v>45888.41420138889</v>
      </c>
      <c r="C4419" s="1" t="n">
        <v>46011</v>
      </c>
      <c r="D4419" t="inlineStr">
        <is>
          <t>VÄSTRA GÖTALANDS LÄN</t>
        </is>
      </c>
      <c r="E4419" t="inlineStr">
        <is>
          <t>BORÅS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39057-2025</t>
        </is>
      </c>
      <c r="B4420" s="1" t="n">
        <v>45888</v>
      </c>
      <c r="C4420" s="1" t="n">
        <v>46011</v>
      </c>
      <c r="D4420" t="inlineStr">
        <is>
          <t>VÄSTRA GÖTALANDS LÄN</t>
        </is>
      </c>
      <c r="E4420" t="inlineStr">
        <is>
          <t>HERRLJUNGA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52860-2022</t>
        </is>
      </c>
      <c r="B4421" s="1" t="n">
        <v>44875.48599537037</v>
      </c>
      <c r="C4421" s="1" t="n">
        <v>46011</v>
      </c>
      <c r="D4421" t="inlineStr">
        <is>
          <t>VÄSTRA GÖTALANDS LÄN</t>
        </is>
      </c>
      <c r="E4421" t="inlineStr">
        <is>
          <t>DALS-ED</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26148-2025</t>
        </is>
      </c>
      <c r="B4422" s="1" t="n">
        <v>45805.43145833333</v>
      </c>
      <c r="C4422" s="1" t="n">
        <v>46011</v>
      </c>
      <c r="D4422" t="inlineStr">
        <is>
          <t>VÄSTRA GÖTALANDS LÄN</t>
        </is>
      </c>
      <c r="E4422" t="inlineStr">
        <is>
          <t>MARK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26385-2025</t>
        </is>
      </c>
      <c r="B4423" s="1" t="n">
        <v>45806.49885416667</v>
      </c>
      <c r="C4423" s="1" t="n">
        <v>46011</v>
      </c>
      <c r="D4423" t="inlineStr">
        <is>
          <t>VÄSTRA GÖTALANDS LÄN</t>
        </is>
      </c>
      <c r="E4423" t="inlineStr">
        <is>
          <t>ULRICEHAMN</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35190-2024</t>
        </is>
      </c>
      <c r="B4424" s="1" t="n">
        <v>45530</v>
      </c>
      <c r="C4424" s="1" t="n">
        <v>46011</v>
      </c>
      <c r="D4424" t="inlineStr">
        <is>
          <t>VÄSTRA GÖTALANDS LÄN</t>
        </is>
      </c>
      <c r="E4424" t="inlineStr">
        <is>
          <t>FALKÖPING</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39604-2025</t>
        </is>
      </c>
      <c r="B4425" s="1" t="n">
        <v>45890.55415509259</v>
      </c>
      <c r="C4425" s="1" t="n">
        <v>46011</v>
      </c>
      <c r="D4425" t="inlineStr">
        <is>
          <t>VÄSTRA GÖTALANDS LÄN</t>
        </is>
      </c>
      <c r="E4425" t="inlineStr">
        <is>
          <t>HERRLJUNGA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58129-2024</t>
        </is>
      </c>
      <c r="B4426" s="1" t="n">
        <v>45632.40585648148</v>
      </c>
      <c r="C4426" s="1" t="n">
        <v>46011</v>
      </c>
      <c r="D4426" t="inlineStr">
        <is>
          <t>VÄSTRA GÖTALANDS LÄN</t>
        </is>
      </c>
      <c r="E4426" t="inlineStr">
        <is>
          <t>KARLSBORG</t>
        </is>
      </c>
      <c r="F4426" t="inlineStr">
        <is>
          <t>Sveaskog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39561-2025</t>
        </is>
      </c>
      <c r="B4427" s="1" t="n">
        <v>45890.47210648148</v>
      </c>
      <c r="C4427" s="1" t="n">
        <v>46011</v>
      </c>
      <c r="D4427" t="inlineStr">
        <is>
          <t>VÄSTRA GÖTALANDS LÄN</t>
        </is>
      </c>
      <c r="E4427" t="inlineStr">
        <is>
          <t>HERRLJUNGA</t>
        </is>
      </c>
      <c r="F4427" t="inlineStr">
        <is>
          <t>Sveaskog</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39607-2025</t>
        </is>
      </c>
      <c r="B4428" s="1" t="n">
        <v>45890.55559027778</v>
      </c>
      <c r="C4428" s="1" t="n">
        <v>46011</v>
      </c>
      <c r="D4428" t="inlineStr">
        <is>
          <t>VÄSTRA GÖTALANDS LÄN</t>
        </is>
      </c>
      <c r="E4428" t="inlineStr">
        <is>
          <t>BENGTSFORS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60146-2022</t>
        </is>
      </c>
      <c r="B4429" s="1" t="n">
        <v>44902</v>
      </c>
      <c r="C4429" s="1" t="n">
        <v>46011</v>
      </c>
      <c r="D4429" t="inlineStr">
        <is>
          <t>VÄSTRA GÖTALANDS LÄN</t>
        </is>
      </c>
      <c r="E4429" t="inlineStr">
        <is>
          <t>DALS-ED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23222-2024</t>
        </is>
      </c>
      <c r="B4430" s="1" t="n">
        <v>45452.86884259259</v>
      </c>
      <c r="C4430" s="1" t="n">
        <v>46011</v>
      </c>
      <c r="D4430" t="inlineStr">
        <is>
          <t>VÄSTRA GÖTALANDS LÄN</t>
        </is>
      </c>
      <c r="E4430" t="inlineStr">
        <is>
          <t>FÄRGELANDA</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26177-2025</t>
        </is>
      </c>
      <c r="B4431" s="1" t="n">
        <v>45805.4690625</v>
      </c>
      <c r="C4431" s="1" t="n">
        <v>46011</v>
      </c>
      <c r="D4431" t="inlineStr">
        <is>
          <t>VÄSTRA GÖTALANDS LÄN</t>
        </is>
      </c>
      <c r="E4431" t="inlineStr">
        <is>
          <t>HERRLJUNGA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26264-2025</t>
        </is>
      </c>
      <c r="B4432" s="1" t="n">
        <v>45805.58908564815</v>
      </c>
      <c r="C4432" s="1" t="n">
        <v>46011</v>
      </c>
      <c r="D4432" t="inlineStr">
        <is>
          <t>VÄSTRA GÖTALANDS LÄN</t>
        </is>
      </c>
      <c r="E4432" t="inlineStr">
        <is>
          <t>TANUM</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26247-2025</t>
        </is>
      </c>
      <c r="B4433" s="1" t="n">
        <v>45805</v>
      </c>
      <c r="C4433" s="1" t="n">
        <v>46011</v>
      </c>
      <c r="D4433" t="inlineStr">
        <is>
          <t>VÄSTRA GÖTALANDS LÄN</t>
        </is>
      </c>
      <c r="E4433" t="inlineStr">
        <is>
          <t>VÄNERSBORG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26060-2025</t>
        </is>
      </c>
      <c r="B4434" s="1" t="n">
        <v>45804.90881944444</v>
      </c>
      <c r="C4434" s="1" t="n">
        <v>46011</v>
      </c>
      <c r="D4434" t="inlineStr">
        <is>
          <t>VÄSTRA GÖTALANDS LÄN</t>
        </is>
      </c>
      <c r="E4434" t="inlineStr">
        <is>
          <t>FALKÖPING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45322-2024</t>
        </is>
      </c>
      <c r="B4435" s="1" t="n">
        <v>45576.44601851852</v>
      </c>
      <c r="C4435" s="1" t="n">
        <v>46011</v>
      </c>
      <c r="D4435" t="inlineStr">
        <is>
          <t>VÄSTRA GÖTALANDS LÄN</t>
        </is>
      </c>
      <c r="E4435" t="inlineStr">
        <is>
          <t>ALINGSÅS</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39351-2025</t>
        </is>
      </c>
      <c r="B4436" s="1" t="n">
        <v>45889.54530092593</v>
      </c>
      <c r="C4436" s="1" t="n">
        <v>46011</v>
      </c>
      <c r="D4436" t="inlineStr">
        <is>
          <t>VÄSTRA GÖTALANDS LÄN</t>
        </is>
      </c>
      <c r="E4436" t="inlineStr">
        <is>
          <t>TANUM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39372-2025</t>
        </is>
      </c>
      <c r="B4437" s="1" t="n">
        <v>45889.58609953704</v>
      </c>
      <c r="C4437" s="1" t="n">
        <v>46011</v>
      </c>
      <c r="D4437" t="inlineStr">
        <is>
          <t>VÄSTRA GÖTALANDS LÄN</t>
        </is>
      </c>
      <c r="E4437" t="inlineStr">
        <is>
          <t>VÅRGÅRDA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39375-2025</t>
        </is>
      </c>
      <c r="B4438" s="1" t="n">
        <v>45889.58944444444</v>
      </c>
      <c r="C4438" s="1" t="n">
        <v>46011</v>
      </c>
      <c r="D4438" t="inlineStr">
        <is>
          <t>VÄSTRA GÖTALANDS LÄN</t>
        </is>
      </c>
      <c r="E4438" t="inlineStr">
        <is>
          <t>VÅRGÅRDA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39388-2025</t>
        </is>
      </c>
      <c r="B4439" s="1" t="n">
        <v>45889.61847222222</v>
      </c>
      <c r="C4439" s="1" t="n">
        <v>46011</v>
      </c>
      <c r="D4439" t="inlineStr">
        <is>
          <t>VÄSTRA GÖTALANDS LÄN</t>
        </is>
      </c>
      <c r="E4439" t="inlineStr">
        <is>
          <t>HERRLJUNGA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9088-2025</t>
        </is>
      </c>
      <c r="B4440" s="1" t="n">
        <v>45713</v>
      </c>
      <c r="C4440" s="1" t="n">
        <v>46011</v>
      </c>
      <c r="D4440" t="inlineStr">
        <is>
          <t>VÄSTRA GÖTALANDS LÄN</t>
        </is>
      </c>
      <c r="E4440" t="inlineStr">
        <is>
          <t>BORÅS</t>
        </is>
      </c>
      <c r="F4440" t="inlineStr">
        <is>
          <t>Kommuner</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19470-2023</t>
        </is>
      </c>
      <c r="B4441" s="1" t="n">
        <v>45050</v>
      </c>
      <c r="C4441" s="1" t="n">
        <v>46011</v>
      </c>
      <c r="D4441" t="inlineStr">
        <is>
          <t>VÄSTRA GÖTALANDS LÄN</t>
        </is>
      </c>
      <c r="E4441" t="inlineStr">
        <is>
          <t>FALKÖPING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39419-2025</t>
        </is>
      </c>
      <c r="B4442" s="1" t="n">
        <v>45889.66032407407</v>
      </c>
      <c r="C4442" s="1" t="n">
        <v>46011</v>
      </c>
      <c r="D4442" t="inlineStr">
        <is>
          <t>VÄSTRA GÖTALANDS LÄN</t>
        </is>
      </c>
      <c r="E4442" t="inlineStr">
        <is>
          <t>VÅRGÅRDA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39462-2025</t>
        </is>
      </c>
      <c r="B4443" s="1" t="n">
        <v>45889.89510416667</v>
      </c>
      <c r="C4443" s="1" t="n">
        <v>46011</v>
      </c>
      <c r="D4443" t="inlineStr">
        <is>
          <t>VÄSTRA GÖTALANDS LÄN</t>
        </is>
      </c>
      <c r="E4443" t="inlineStr">
        <is>
          <t>ULRICEHAMN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12243-2024</t>
        </is>
      </c>
      <c r="B4444" s="1" t="n">
        <v>45378</v>
      </c>
      <c r="C4444" s="1" t="n">
        <v>46011</v>
      </c>
      <c r="D4444" t="inlineStr">
        <is>
          <t>VÄSTRA GÖTALANDS LÄN</t>
        </is>
      </c>
      <c r="E4444" t="inlineStr">
        <is>
          <t>MUNKEDAL</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39676-2025</t>
        </is>
      </c>
      <c r="B4445" s="1" t="n">
        <v>45890.64989583333</v>
      </c>
      <c r="C4445" s="1" t="n">
        <v>46011</v>
      </c>
      <c r="D4445" t="inlineStr">
        <is>
          <t>VÄSTRA GÖTALANDS LÄN</t>
        </is>
      </c>
      <c r="E4445" t="inlineStr">
        <is>
          <t>HÄRRYDA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30912-2024</t>
        </is>
      </c>
      <c r="B4446" s="1" t="n">
        <v>45498.6093287037</v>
      </c>
      <c r="C4446" s="1" t="n">
        <v>46011</v>
      </c>
      <c r="D4446" t="inlineStr">
        <is>
          <t>VÄSTRA GÖTALANDS LÄN</t>
        </is>
      </c>
      <c r="E4446" t="inlineStr">
        <is>
          <t>ULRICEHAMN</t>
        </is>
      </c>
      <c r="F4446" t="inlineStr">
        <is>
          <t>Kyrkan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61178-2024</t>
        </is>
      </c>
      <c r="B4447" s="1" t="n">
        <v>45645</v>
      </c>
      <c r="C4447" s="1" t="n">
        <v>46011</v>
      </c>
      <c r="D4447" t="inlineStr">
        <is>
          <t>VÄSTRA GÖTALANDS LÄN</t>
        </is>
      </c>
      <c r="E4447" t="inlineStr">
        <is>
          <t>MÖLNDAL</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24073-2024</t>
        </is>
      </c>
      <c r="B4448" s="1" t="n">
        <v>45456.56305555555</v>
      </c>
      <c r="C4448" s="1" t="n">
        <v>46011</v>
      </c>
      <c r="D4448" t="inlineStr">
        <is>
          <t>VÄSTRA GÖTALANDS LÄN</t>
        </is>
      </c>
      <c r="E4448" t="inlineStr">
        <is>
          <t>MUNKEDAL</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60456-2024</t>
        </is>
      </c>
      <c r="B4449" s="1" t="n">
        <v>45643.60787037037</v>
      </c>
      <c r="C4449" s="1" t="n">
        <v>46011</v>
      </c>
      <c r="D4449" t="inlineStr">
        <is>
          <t>VÄSTRA GÖTALANDS LÄN</t>
        </is>
      </c>
      <c r="E4449" t="inlineStr">
        <is>
          <t>FÄRGELANDA</t>
        </is>
      </c>
      <c r="G4449" t="n">
        <v>16.9</v>
      </c>
      <c r="H4449" t="n">
        <v>0</v>
      </c>
      <c r="I4449" t="n">
        <v>0</v>
      </c>
      <c r="J4449" t="n">
        <v>0</v>
      </c>
      <c r="K4449" t="n">
        <v>0</v>
      </c>
      <c r="L4449" t="n">
        <v>0</v>
      </c>
      <c r="M4449" t="n">
        <v>0</v>
      </c>
      <c r="N4449" t="n">
        <v>0</v>
      </c>
      <c r="O4449" t="n">
        <v>0</v>
      </c>
      <c r="P4449" t="n">
        <v>0</v>
      </c>
      <c r="Q4449" t="n">
        <v>0</v>
      </c>
      <c r="R4449" s="2" t="inlineStr"/>
    </row>
    <row r="4450" ht="15" customHeight="1">
      <c r="A4450" t="inlineStr">
        <is>
          <t>A 26376-2025</t>
        </is>
      </c>
      <c r="B4450" s="1" t="n">
        <v>45806.48766203703</v>
      </c>
      <c r="C4450" s="1" t="n">
        <v>46011</v>
      </c>
      <c r="D4450" t="inlineStr">
        <is>
          <t>VÄSTRA GÖTALANDS LÄN</t>
        </is>
      </c>
      <c r="E4450" t="inlineStr">
        <is>
          <t>ULRICEHAMN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51411-2024</t>
        </is>
      </c>
      <c r="B4451" s="1" t="n">
        <v>45604</v>
      </c>
      <c r="C4451" s="1" t="n">
        <v>46011</v>
      </c>
      <c r="D4451" t="inlineStr">
        <is>
          <t>VÄSTRA GÖTALANDS LÄN</t>
        </is>
      </c>
      <c r="E4451" t="inlineStr">
        <is>
          <t>BORÅS</t>
        </is>
      </c>
      <c r="G4451" t="n">
        <v>11.8</v>
      </c>
      <c r="H4451" t="n">
        <v>0</v>
      </c>
      <c r="I4451" t="n">
        <v>0</v>
      </c>
      <c r="J4451" t="n">
        <v>0</v>
      </c>
      <c r="K4451" t="n">
        <v>0</v>
      </c>
      <c r="L4451" t="n">
        <v>0</v>
      </c>
      <c r="M4451" t="n">
        <v>0</v>
      </c>
      <c r="N4451" t="n">
        <v>0</v>
      </c>
      <c r="O4451" t="n">
        <v>0</v>
      </c>
      <c r="P4451" t="n">
        <v>0</v>
      </c>
      <c r="Q4451" t="n">
        <v>0</v>
      </c>
      <c r="R4451" s="2" t="inlineStr"/>
    </row>
    <row r="4452" ht="15" customHeight="1">
      <c r="A4452" t="inlineStr">
        <is>
          <t>A 26229-2025</t>
        </is>
      </c>
      <c r="B4452" s="1" t="n">
        <v>45805.56230324074</v>
      </c>
      <c r="C4452" s="1" t="n">
        <v>46011</v>
      </c>
      <c r="D4452" t="inlineStr">
        <is>
          <t>VÄSTRA GÖTALANDS LÄN</t>
        </is>
      </c>
      <c r="E4452" t="inlineStr">
        <is>
          <t>HJO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26233-2025</t>
        </is>
      </c>
      <c r="B4453" s="1" t="n">
        <v>45805.5666087963</v>
      </c>
      <c r="C4453" s="1" t="n">
        <v>46011</v>
      </c>
      <c r="D4453" t="inlineStr">
        <is>
          <t>VÄSTRA GÖTALANDS LÄN</t>
        </is>
      </c>
      <c r="E4453" t="inlineStr">
        <is>
          <t>STRÖMSTAD</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26238-2025</t>
        </is>
      </c>
      <c r="B4454" s="1" t="n">
        <v>45805.56920138889</v>
      </c>
      <c r="C4454" s="1" t="n">
        <v>46011</v>
      </c>
      <c r="D4454" t="inlineStr">
        <is>
          <t>VÄSTRA GÖTALANDS LÄN</t>
        </is>
      </c>
      <c r="E4454" t="inlineStr">
        <is>
          <t>HJO</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49820-2022</t>
        </is>
      </c>
      <c r="B4455" s="1" t="n">
        <v>44862.70869212963</v>
      </c>
      <c r="C4455" s="1" t="n">
        <v>46011</v>
      </c>
      <c r="D4455" t="inlineStr">
        <is>
          <t>VÄSTRA GÖTALANDS LÄN</t>
        </is>
      </c>
      <c r="E4455" t="inlineStr">
        <is>
          <t>VARA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49822-2022</t>
        </is>
      </c>
      <c r="B4456" s="1" t="n">
        <v>44862</v>
      </c>
      <c r="C4456" s="1" t="n">
        <v>46011</v>
      </c>
      <c r="D4456" t="inlineStr">
        <is>
          <t>VÄSTRA GÖTALANDS LÄN</t>
        </is>
      </c>
      <c r="E4456" t="inlineStr">
        <is>
          <t>ORUST</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39404-2025</t>
        </is>
      </c>
      <c r="B4457" s="1" t="n">
        <v>45889.63811342593</v>
      </c>
      <c r="C4457" s="1" t="n">
        <v>46011</v>
      </c>
      <c r="D4457" t="inlineStr">
        <is>
          <t>VÄSTRA GÖTALANDS LÄN</t>
        </is>
      </c>
      <c r="E4457" t="inlineStr">
        <is>
          <t>ULRICEHAMN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15373-2025</t>
        </is>
      </c>
      <c r="B4458" s="1" t="n">
        <v>45747.40596064815</v>
      </c>
      <c r="C4458" s="1" t="n">
        <v>46011</v>
      </c>
      <c r="D4458" t="inlineStr">
        <is>
          <t>VÄSTRA GÖTALANDS LÄN</t>
        </is>
      </c>
      <c r="E4458" t="inlineStr">
        <is>
          <t>SVENLJUNGA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26270-2025</t>
        </is>
      </c>
      <c r="B4459" s="1" t="n">
        <v>45805.59357638889</v>
      </c>
      <c r="C4459" s="1" t="n">
        <v>46011</v>
      </c>
      <c r="D4459" t="inlineStr">
        <is>
          <t>VÄSTRA GÖTALANDS LÄN</t>
        </is>
      </c>
      <c r="E4459" t="inlineStr">
        <is>
          <t>STRÖMSTAD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11622-2024</t>
        </is>
      </c>
      <c r="B4460" s="1" t="n">
        <v>45373.44097222222</v>
      </c>
      <c r="C4460" s="1" t="n">
        <v>46011</v>
      </c>
      <c r="D4460" t="inlineStr">
        <is>
          <t>VÄSTRA GÖTALANDS LÄN</t>
        </is>
      </c>
      <c r="E4460" t="inlineStr">
        <is>
          <t>BENGTSFORS</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43696-2021</t>
        </is>
      </c>
      <c r="B4461" s="1" t="n">
        <v>44433</v>
      </c>
      <c r="C4461" s="1" t="n">
        <v>46011</v>
      </c>
      <c r="D4461" t="inlineStr">
        <is>
          <t>VÄSTRA GÖTALANDS LÄN</t>
        </is>
      </c>
      <c r="E4461" t="inlineStr">
        <is>
          <t>BENGTSFORS</t>
        </is>
      </c>
      <c r="G4461" t="n">
        <v>15.5</v>
      </c>
      <c r="H4461" t="n">
        <v>0</v>
      </c>
      <c r="I4461" t="n">
        <v>0</v>
      </c>
      <c r="J4461" t="n">
        <v>0</v>
      </c>
      <c r="K4461" t="n">
        <v>0</v>
      </c>
      <c r="L4461" t="n">
        <v>0</v>
      </c>
      <c r="M4461" t="n">
        <v>0</v>
      </c>
      <c r="N4461" t="n">
        <v>0</v>
      </c>
      <c r="O4461" t="n">
        <v>0</v>
      </c>
      <c r="P4461" t="n">
        <v>0</v>
      </c>
      <c r="Q4461" t="n">
        <v>0</v>
      </c>
      <c r="R4461" s="2" t="inlineStr"/>
    </row>
    <row r="4462" ht="15" customHeight="1">
      <c r="A4462" t="inlineStr">
        <is>
          <t>A 18473-2025</t>
        </is>
      </c>
      <c r="B4462" s="1" t="n">
        <v>45762.75453703704</v>
      </c>
      <c r="C4462" s="1" t="n">
        <v>46011</v>
      </c>
      <c r="D4462" t="inlineStr">
        <is>
          <t>VÄSTRA GÖTALANDS LÄN</t>
        </is>
      </c>
      <c r="E4462" t="inlineStr">
        <is>
          <t>MUNKEDAL</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47522-2024</t>
        </is>
      </c>
      <c r="B4463" s="1" t="n">
        <v>45587.63065972222</v>
      </c>
      <c r="C4463" s="1" t="n">
        <v>46011</v>
      </c>
      <c r="D4463" t="inlineStr">
        <is>
          <t>VÄSTRA GÖTALANDS LÄN</t>
        </is>
      </c>
      <c r="E4463" t="inlineStr">
        <is>
          <t>BOLLEBYGD</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39563-2025</t>
        </is>
      </c>
      <c r="B4464" s="1" t="n">
        <v>45890.48255787037</v>
      </c>
      <c r="C4464" s="1" t="n">
        <v>46011</v>
      </c>
      <c r="D4464" t="inlineStr">
        <is>
          <t>VÄSTRA GÖTALANDS LÄN</t>
        </is>
      </c>
      <c r="E4464" t="inlineStr">
        <is>
          <t>FALKÖPING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3080-2024</t>
        </is>
      </c>
      <c r="B4465" s="1" t="n">
        <v>45316</v>
      </c>
      <c r="C4465" s="1" t="n">
        <v>46011</v>
      </c>
      <c r="D4465" t="inlineStr">
        <is>
          <t>VÄSTRA GÖTALANDS LÄN</t>
        </is>
      </c>
      <c r="E4465" t="inlineStr">
        <is>
          <t>BOLLEBYGD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419-2023</t>
        </is>
      </c>
      <c r="B4466" s="1" t="n">
        <v>44929</v>
      </c>
      <c r="C4466" s="1" t="n">
        <v>46011</v>
      </c>
      <c r="D4466" t="inlineStr">
        <is>
          <t>VÄSTRA GÖTALANDS LÄN</t>
        </is>
      </c>
      <c r="E4466" t="inlineStr">
        <is>
          <t>TIBRO</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56619-2022</t>
        </is>
      </c>
      <c r="B4467" s="1" t="n">
        <v>44893.59541666666</v>
      </c>
      <c r="C4467" s="1" t="n">
        <v>46011</v>
      </c>
      <c r="D4467" t="inlineStr">
        <is>
          <t>VÄSTRA GÖTALANDS LÄN</t>
        </is>
      </c>
      <c r="E4467" t="inlineStr">
        <is>
          <t>FÄRGELANDA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39617-2025</t>
        </is>
      </c>
      <c r="B4468" s="1" t="n">
        <v>45890.56799768518</v>
      </c>
      <c r="C4468" s="1" t="n">
        <v>46011</v>
      </c>
      <c r="D4468" t="inlineStr">
        <is>
          <t>VÄSTRA GÖTALANDS LÄN</t>
        </is>
      </c>
      <c r="E4468" t="inlineStr">
        <is>
          <t>MUNKEDAL</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39662-2025</t>
        </is>
      </c>
      <c r="B4469" s="1" t="n">
        <v>45890.63438657407</v>
      </c>
      <c r="C4469" s="1" t="n">
        <v>46011</v>
      </c>
      <c r="D4469" t="inlineStr">
        <is>
          <t>VÄSTRA GÖTALANDS LÄN</t>
        </is>
      </c>
      <c r="E4469" t="inlineStr">
        <is>
          <t>MUNKEDAL</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495-2023</t>
        </is>
      </c>
      <c r="B4470" s="1" t="n">
        <v>44930.32969907407</v>
      </c>
      <c r="C4470" s="1" t="n">
        <v>46011</v>
      </c>
      <c r="D4470" t="inlineStr">
        <is>
          <t>VÄSTRA GÖTALANDS LÄN</t>
        </is>
      </c>
      <c r="E4470" t="inlineStr">
        <is>
          <t>UDDEVALLA</t>
        </is>
      </c>
      <c r="F4470" t="inlineStr">
        <is>
          <t>Kommuner</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26105-2025</t>
        </is>
      </c>
      <c r="B4471" s="1" t="n">
        <v>45805</v>
      </c>
      <c r="C4471" s="1" t="n">
        <v>46011</v>
      </c>
      <c r="D4471" t="inlineStr">
        <is>
          <t>VÄSTRA GÖTALANDS LÄN</t>
        </is>
      </c>
      <c r="E4471" t="inlineStr">
        <is>
          <t>GÖTENE</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26122-2025</t>
        </is>
      </c>
      <c r="B4472" s="1" t="n">
        <v>45805</v>
      </c>
      <c r="C4472" s="1" t="n">
        <v>46011</v>
      </c>
      <c r="D4472" t="inlineStr">
        <is>
          <t>VÄSTRA GÖTALANDS LÄN</t>
        </is>
      </c>
      <c r="E4472" t="inlineStr">
        <is>
          <t>FALKÖPING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26054-2025</t>
        </is>
      </c>
      <c r="B4473" s="1" t="n">
        <v>45804.75467592593</v>
      </c>
      <c r="C4473" s="1" t="n">
        <v>46011</v>
      </c>
      <c r="D4473" t="inlineStr">
        <is>
          <t>VÄSTRA GÖTALANDS LÄN</t>
        </is>
      </c>
      <c r="E4473" t="inlineStr">
        <is>
          <t>FALKÖPING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26073-2025</t>
        </is>
      </c>
      <c r="B4474" s="1" t="n">
        <v>45805.3218287037</v>
      </c>
      <c r="C4474" s="1" t="n">
        <v>46011</v>
      </c>
      <c r="D4474" t="inlineStr">
        <is>
          <t>VÄSTRA GÖTALANDS LÄN</t>
        </is>
      </c>
      <c r="E4474" t="inlineStr">
        <is>
          <t>LERUM</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39448-2025</t>
        </is>
      </c>
      <c r="B4475" s="1" t="n">
        <v>45889</v>
      </c>
      <c r="C4475" s="1" t="n">
        <v>46011</v>
      </c>
      <c r="D4475" t="inlineStr">
        <is>
          <t>VÄSTRA GÖTALANDS LÄN</t>
        </is>
      </c>
      <c r="E4475" t="inlineStr">
        <is>
          <t>ÅMÅL</t>
        </is>
      </c>
      <c r="F4475" t="inlineStr">
        <is>
          <t>Bergvik skog väst AB</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38878-2025</t>
        </is>
      </c>
      <c r="B4476" s="1" t="n">
        <v>45884</v>
      </c>
      <c r="C4476" s="1" t="n">
        <v>46011</v>
      </c>
      <c r="D4476" t="inlineStr">
        <is>
          <t>VÄSTRA GÖTALANDS LÄN</t>
        </is>
      </c>
      <c r="E4476" t="inlineStr">
        <is>
          <t>ÅMÅL</t>
        </is>
      </c>
      <c r="F4476" t="inlineStr">
        <is>
          <t>Bergvik skog väst AB</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26077-2025</t>
        </is>
      </c>
      <c r="B4477" s="1" t="n">
        <v>45805.33483796296</v>
      </c>
      <c r="C4477" s="1" t="n">
        <v>46011</v>
      </c>
      <c r="D4477" t="inlineStr">
        <is>
          <t>VÄSTRA GÖTALANDS LÄN</t>
        </is>
      </c>
      <c r="E4477" t="inlineStr">
        <is>
          <t>ULRICEHAMN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39592-2025</t>
        </is>
      </c>
      <c r="B4478" s="1" t="n">
        <v>45890</v>
      </c>
      <c r="C4478" s="1" t="n">
        <v>46011</v>
      </c>
      <c r="D4478" t="inlineStr">
        <is>
          <t>VÄSTRA GÖTALANDS LÄN</t>
        </is>
      </c>
      <c r="E4478" t="inlineStr">
        <is>
          <t>HERRLJUNGA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26380-2025</t>
        </is>
      </c>
      <c r="B4479" s="1" t="n">
        <v>45806.49197916667</v>
      </c>
      <c r="C4479" s="1" t="n">
        <v>46011</v>
      </c>
      <c r="D4479" t="inlineStr">
        <is>
          <t>VÄSTRA GÖTALANDS LÄN</t>
        </is>
      </c>
      <c r="E4479" t="inlineStr">
        <is>
          <t>ULRICEHAMN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26381-2025</t>
        </is>
      </c>
      <c r="B4480" s="1" t="n">
        <v>45806.49351851852</v>
      </c>
      <c r="C4480" s="1" t="n">
        <v>46011</v>
      </c>
      <c r="D4480" t="inlineStr">
        <is>
          <t>VÄSTRA GÖTALANDS LÄN</t>
        </is>
      </c>
      <c r="E4480" t="inlineStr">
        <is>
          <t>ULRICEHAMN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57868-2022</t>
        </is>
      </c>
      <c r="B4481" s="1" t="n">
        <v>44899.66722222222</v>
      </c>
      <c r="C4481" s="1" t="n">
        <v>46011</v>
      </c>
      <c r="D4481" t="inlineStr">
        <is>
          <t>VÄSTRA GÖTALANDS LÄN</t>
        </is>
      </c>
      <c r="E4481" t="inlineStr">
        <is>
          <t>FÄRGELANDA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57886-2022</t>
        </is>
      </c>
      <c r="B4482" s="1" t="n">
        <v>44900</v>
      </c>
      <c r="C4482" s="1" t="n">
        <v>46011</v>
      </c>
      <c r="D4482" t="inlineStr">
        <is>
          <t>VÄSTRA GÖTALANDS LÄN</t>
        </is>
      </c>
      <c r="E4482" t="inlineStr">
        <is>
          <t>BORÅS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26292-2025</t>
        </is>
      </c>
      <c r="B4483" s="1" t="n">
        <v>45805.63157407408</v>
      </c>
      <c r="C4483" s="1" t="n">
        <v>46011</v>
      </c>
      <c r="D4483" t="inlineStr">
        <is>
          <t>VÄSTRA GÖTALANDS LÄN</t>
        </is>
      </c>
      <c r="E4483" t="inlineStr">
        <is>
          <t>FÄRGELANDA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50966-2024</t>
        </is>
      </c>
      <c r="B4484" s="1" t="n">
        <v>45603</v>
      </c>
      <c r="C4484" s="1" t="n">
        <v>46011</v>
      </c>
      <c r="D4484" t="inlineStr">
        <is>
          <t>VÄSTRA GÖTALANDS LÄN</t>
        </is>
      </c>
      <c r="E4484" t="inlineStr">
        <is>
          <t>ULRICEHAMN</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21830-2025</t>
        </is>
      </c>
      <c r="B4485" s="1" t="n">
        <v>45784.26109953703</v>
      </c>
      <c r="C4485" s="1" t="n">
        <v>46011</v>
      </c>
      <c r="D4485" t="inlineStr">
        <is>
          <t>VÄSTRA GÖTALANDS LÄN</t>
        </is>
      </c>
      <c r="E4485" t="inlineStr">
        <is>
          <t>ULRICEHAMN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58896-2022</t>
        </is>
      </c>
      <c r="B4486" s="1" t="n">
        <v>44903.59100694444</v>
      </c>
      <c r="C4486" s="1" t="n">
        <v>46011</v>
      </c>
      <c r="D4486" t="inlineStr">
        <is>
          <t>VÄSTRA GÖTALANDS LÄN</t>
        </is>
      </c>
      <c r="E4486" t="inlineStr">
        <is>
          <t>MARIESTAD</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57869-2022</t>
        </is>
      </c>
      <c r="B4487" s="1" t="n">
        <v>44899.67410879629</v>
      </c>
      <c r="C4487" s="1" t="n">
        <v>46011</v>
      </c>
      <c r="D4487" t="inlineStr">
        <is>
          <t>VÄSTRA GÖTALANDS LÄN</t>
        </is>
      </c>
      <c r="E4487" t="inlineStr">
        <is>
          <t>FÄRGELANDA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57878-2022</t>
        </is>
      </c>
      <c r="B4488" s="1" t="n">
        <v>44899.875625</v>
      </c>
      <c r="C4488" s="1" t="n">
        <v>46011</v>
      </c>
      <c r="D4488" t="inlineStr">
        <is>
          <t>VÄSTRA GÖTALANDS LÄN</t>
        </is>
      </c>
      <c r="E4488" t="inlineStr">
        <is>
          <t>ORUST</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39466-2025</t>
        </is>
      </c>
      <c r="B4489" s="1" t="n">
        <v>45890.29003472222</v>
      </c>
      <c r="C4489" s="1" t="n">
        <v>46011</v>
      </c>
      <c r="D4489" t="inlineStr">
        <is>
          <t>VÄSTRA GÖTALANDS LÄN</t>
        </is>
      </c>
      <c r="E4489" t="inlineStr">
        <is>
          <t>SVENLJUNGA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39494-2025</t>
        </is>
      </c>
      <c r="B4490" s="1" t="n">
        <v>45890.37663194445</v>
      </c>
      <c r="C4490" s="1" t="n">
        <v>46011</v>
      </c>
      <c r="D4490" t="inlineStr">
        <is>
          <t>VÄSTRA GÖTALANDS LÄN</t>
        </is>
      </c>
      <c r="E4490" t="inlineStr">
        <is>
          <t>SKARA</t>
        </is>
      </c>
      <c r="F4490" t="inlineStr">
        <is>
          <t>Sveaskog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33221-2024</t>
        </is>
      </c>
      <c r="B4491" s="1" t="n">
        <v>45518.55730324074</v>
      </c>
      <c r="C4491" s="1" t="n">
        <v>46011</v>
      </c>
      <c r="D4491" t="inlineStr">
        <is>
          <t>VÄSTRA GÖTALANDS LÄN</t>
        </is>
      </c>
      <c r="E4491" t="inlineStr">
        <is>
          <t>ÅMÅL</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26074-2025</t>
        </is>
      </c>
      <c r="B4492" s="1" t="n">
        <v>45805.32366898148</v>
      </c>
      <c r="C4492" s="1" t="n">
        <v>46011</v>
      </c>
      <c r="D4492" t="inlineStr">
        <is>
          <t>VÄSTRA GÖTALANDS LÄN</t>
        </is>
      </c>
      <c r="E4492" t="inlineStr">
        <is>
          <t>PARTILLE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26096-2025</t>
        </is>
      </c>
      <c r="B4493" s="1" t="n">
        <v>45805.35203703704</v>
      </c>
      <c r="C4493" s="1" t="n">
        <v>46011</v>
      </c>
      <c r="D4493" t="inlineStr">
        <is>
          <t>VÄSTRA GÖTALANDS LÄN</t>
        </is>
      </c>
      <c r="E4493" t="inlineStr">
        <is>
          <t>ALINGSÅS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58225-2021</t>
        </is>
      </c>
      <c r="B4494" s="1" t="n">
        <v>44487</v>
      </c>
      <c r="C4494" s="1" t="n">
        <v>46011</v>
      </c>
      <c r="D4494" t="inlineStr">
        <is>
          <t>VÄSTRA GÖTALANDS LÄN</t>
        </is>
      </c>
      <c r="E4494" t="inlineStr">
        <is>
          <t>ÅMÅL</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34073-2024</t>
        </is>
      </c>
      <c r="B4495" s="1" t="n">
        <v>45523.63995370371</v>
      </c>
      <c r="C4495" s="1" t="n">
        <v>46011</v>
      </c>
      <c r="D4495" t="inlineStr">
        <is>
          <t>VÄSTRA GÖTALANDS LÄN</t>
        </is>
      </c>
      <c r="E4495" t="inlineStr">
        <is>
          <t>MARK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26262-2025</t>
        </is>
      </c>
      <c r="B4496" s="1" t="n">
        <v>45805.58758101852</v>
      </c>
      <c r="C4496" s="1" t="n">
        <v>46011</v>
      </c>
      <c r="D4496" t="inlineStr">
        <is>
          <t>VÄSTRA GÖTALANDS LÄN</t>
        </is>
      </c>
      <c r="E4496" t="inlineStr">
        <is>
          <t>TANUM</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39416-2025</t>
        </is>
      </c>
      <c r="B4497" s="1" t="n">
        <v>45889</v>
      </c>
      <c r="C4497" s="1" t="n">
        <v>46011</v>
      </c>
      <c r="D4497" t="inlineStr">
        <is>
          <t>VÄSTRA GÖTALANDS LÄN</t>
        </is>
      </c>
      <c r="E4497" t="inlineStr">
        <is>
          <t>VÅRGÅRDA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63222-2021</t>
        </is>
      </c>
      <c r="B4498" s="1" t="n">
        <v>44508</v>
      </c>
      <c r="C4498" s="1" t="n">
        <v>46011</v>
      </c>
      <c r="D4498" t="inlineStr">
        <is>
          <t>VÄSTRA GÖTALANDS LÄN</t>
        </is>
      </c>
      <c r="E4498" t="inlineStr">
        <is>
          <t>TANUM</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48886-2022</t>
        </is>
      </c>
      <c r="B4499" s="1" t="n">
        <v>44859</v>
      </c>
      <c r="C4499" s="1" t="n">
        <v>46011</v>
      </c>
      <c r="D4499" t="inlineStr">
        <is>
          <t>VÄSTRA GÖTALANDS LÄN</t>
        </is>
      </c>
      <c r="E4499" t="inlineStr">
        <is>
          <t>BORÅS</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1786-2025</t>
        </is>
      </c>
      <c r="B4500" s="1" t="n">
        <v>45670</v>
      </c>
      <c r="C4500" s="1" t="n">
        <v>46011</v>
      </c>
      <c r="D4500" t="inlineStr">
        <is>
          <t>VÄSTRA GÖTALANDS LÄN</t>
        </is>
      </c>
      <c r="E4500" t="inlineStr">
        <is>
          <t>BORÅS</t>
        </is>
      </c>
      <c r="F4500" t="inlineStr">
        <is>
          <t>Kommuner</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21979-2025</t>
        </is>
      </c>
      <c r="B4501" s="1" t="n">
        <v>45784.65008101852</v>
      </c>
      <c r="C4501" s="1" t="n">
        <v>46011</v>
      </c>
      <c r="D4501" t="inlineStr">
        <is>
          <t>VÄSTRA GÖTALANDS LÄN</t>
        </is>
      </c>
      <c r="E4501" t="inlineStr">
        <is>
          <t>TROLLHÄTTAN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39403-2025</t>
        </is>
      </c>
      <c r="B4502" s="1" t="n">
        <v>45889.63668981481</v>
      </c>
      <c r="C4502" s="1" t="n">
        <v>46011</v>
      </c>
      <c r="D4502" t="inlineStr">
        <is>
          <t>VÄSTRA GÖTALANDS LÄN</t>
        </is>
      </c>
      <c r="E4502" t="inlineStr">
        <is>
          <t>ULRICEHAMN</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39405-2025</t>
        </is>
      </c>
      <c r="B4503" s="1" t="n">
        <v>45889</v>
      </c>
      <c r="C4503" s="1" t="n">
        <v>46011</v>
      </c>
      <c r="D4503" t="inlineStr">
        <is>
          <t>VÄSTRA GÖTALANDS LÄN</t>
        </is>
      </c>
      <c r="E4503" t="inlineStr">
        <is>
          <t>MARIESTAD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4947-2025</t>
        </is>
      </c>
      <c r="B4504" s="1" t="n">
        <v>45688.86247685185</v>
      </c>
      <c r="C4504" s="1" t="n">
        <v>46011</v>
      </c>
      <c r="D4504" t="inlineStr">
        <is>
          <t>VÄSTRA GÖTALANDS LÄN</t>
        </is>
      </c>
      <c r="E4504" t="inlineStr">
        <is>
          <t>MUNKEDAL</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58199-2022</t>
        </is>
      </c>
      <c r="B4505" s="1" t="n">
        <v>44901.30459490741</v>
      </c>
      <c r="C4505" s="1" t="n">
        <v>46011</v>
      </c>
      <c r="D4505" t="inlineStr">
        <is>
          <t>VÄSTRA GÖTALANDS LÄN</t>
        </is>
      </c>
      <c r="E4505" t="inlineStr">
        <is>
          <t>DALS-ED</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60646-2022</t>
        </is>
      </c>
      <c r="B4506" s="1" t="n">
        <v>44911.72984953703</v>
      </c>
      <c r="C4506" s="1" t="n">
        <v>46011</v>
      </c>
      <c r="D4506" t="inlineStr">
        <is>
          <t>VÄSTRA GÖTALANDS LÄN</t>
        </is>
      </c>
      <c r="E4506" t="inlineStr">
        <is>
          <t>TIDAHOLM</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39241-2025</t>
        </is>
      </c>
      <c r="B4507" s="1" t="n">
        <v>45889.3391550926</v>
      </c>
      <c r="C4507" s="1" t="n">
        <v>46011</v>
      </c>
      <c r="D4507" t="inlineStr">
        <is>
          <t>VÄSTRA GÖTALANDS LÄN</t>
        </is>
      </c>
      <c r="E4507" t="inlineStr">
        <is>
          <t>BENGTSFORS</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61167-2024</t>
        </is>
      </c>
      <c r="B4508" s="1" t="n">
        <v>45645</v>
      </c>
      <c r="C4508" s="1" t="n">
        <v>46011</v>
      </c>
      <c r="D4508" t="inlineStr">
        <is>
          <t>VÄSTRA GÖTALANDS LÄN</t>
        </is>
      </c>
      <c r="E4508" t="inlineStr">
        <is>
          <t>MÖLNDAL</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26382-2025</t>
        </is>
      </c>
      <c r="B4509" s="1" t="n">
        <v>45806.49508101852</v>
      </c>
      <c r="C4509" s="1" t="n">
        <v>46011</v>
      </c>
      <c r="D4509" t="inlineStr">
        <is>
          <t>VÄSTRA GÖTALANDS LÄN</t>
        </is>
      </c>
      <c r="E4509" t="inlineStr">
        <is>
          <t>ULRICEHAMN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26383-2025</t>
        </is>
      </c>
      <c r="B4510" s="1" t="n">
        <v>45806.49650462963</v>
      </c>
      <c r="C4510" s="1" t="n">
        <v>46011</v>
      </c>
      <c r="D4510" t="inlineStr">
        <is>
          <t>VÄSTRA GÖTALANDS LÄN</t>
        </is>
      </c>
      <c r="E4510" t="inlineStr">
        <is>
          <t>ULRICEHAMN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39294-2025</t>
        </is>
      </c>
      <c r="B4511" s="1" t="n">
        <v>45889.42077546296</v>
      </c>
      <c r="C4511" s="1" t="n">
        <v>46011</v>
      </c>
      <c r="D4511" t="inlineStr">
        <is>
          <t>VÄSTRA GÖTALANDS LÄN</t>
        </is>
      </c>
      <c r="E4511" t="inlineStr">
        <is>
          <t>FALKÖPING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39309-2025</t>
        </is>
      </c>
      <c r="B4512" s="1" t="n">
        <v>45889.46177083333</v>
      </c>
      <c r="C4512" s="1" t="n">
        <v>46011</v>
      </c>
      <c r="D4512" t="inlineStr">
        <is>
          <t>VÄSTRA GÖTALANDS LÄN</t>
        </is>
      </c>
      <c r="E4512" t="inlineStr">
        <is>
          <t>TANUM</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72868-2021</t>
        </is>
      </c>
      <c r="B4513" s="1" t="n">
        <v>44547.498125</v>
      </c>
      <c r="C4513" s="1" t="n">
        <v>46011</v>
      </c>
      <c r="D4513" t="inlineStr">
        <is>
          <t>VÄSTRA GÖTALANDS LÄN</t>
        </is>
      </c>
      <c r="E4513" t="inlineStr">
        <is>
          <t>TRANEMO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72879-2021</t>
        </is>
      </c>
      <c r="B4514" s="1" t="n">
        <v>44547</v>
      </c>
      <c r="C4514" s="1" t="n">
        <v>46011</v>
      </c>
      <c r="D4514" t="inlineStr">
        <is>
          <t>VÄSTRA GÖTALANDS LÄN</t>
        </is>
      </c>
      <c r="E4514" t="inlineStr">
        <is>
          <t>GÖTENE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39630-2025</t>
        </is>
      </c>
      <c r="B4515" s="1" t="n">
        <v>45890.58836805556</v>
      </c>
      <c r="C4515" s="1" t="n">
        <v>46011</v>
      </c>
      <c r="D4515" t="inlineStr">
        <is>
          <t>VÄSTRA GÖTALANDS LÄN</t>
        </is>
      </c>
      <c r="E4515" t="inlineStr">
        <is>
          <t>FÄRGELANDA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53360-2022</t>
        </is>
      </c>
      <c r="B4516" s="1" t="n">
        <v>44879.38193287037</v>
      </c>
      <c r="C4516" s="1" t="n">
        <v>46011</v>
      </c>
      <c r="D4516" t="inlineStr">
        <is>
          <t>VÄSTRA GÖTALANDS LÄN</t>
        </is>
      </c>
      <c r="E4516" t="inlineStr">
        <is>
          <t>GULLSPÅNG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26225-2025</t>
        </is>
      </c>
      <c r="B4517" s="1" t="n">
        <v>45805.55758101852</v>
      </c>
      <c r="C4517" s="1" t="n">
        <v>46011</v>
      </c>
      <c r="D4517" t="inlineStr">
        <is>
          <t>VÄSTRA GÖTALANDS LÄN</t>
        </is>
      </c>
      <c r="E4517" t="inlineStr">
        <is>
          <t>TRANEMO</t>
        </is>
      </c>
      <c r="F4517" t="inlineStr">
        <is>
          <t>Sveaskog</t>
        </is>
      </c>
      <c r="G4517" t="n">
        <v>13.4</v>
      </c>
      <c r="H4517" t="n">
        <v>0</v>
      </c>
      <c r="I4517" t="n">
        <v>0</v>
      </c>
      <c r="J4517" t="n">
        <v>0</v>
      </c>
      <c r="K4517" t="n">
        <v>0</v>
      </c>
      <c r="L4517" t="n">
        <v>0</v>
      </c>
      <c r="M4517" t="n">
        <v>0</v>
      </c>
      <c r="N4517" t="n">
        <v>0</v>
      </c>
      <c r="O4517" t="n">
        <v>0</v>
      </c>
      <c r="P4517" t="n">
        <v>0</v>
      </c>
      <c r="Q4517" t="n">
        <v>0</v>
      </c>
      <c r="R4517" s="2" t="inlineStr"/>
    </row>
    <row r="4518" ht="15" customHeight="1">
      <c r="A4518" t="inlineStr">
        <is>
          <t>A 39498-2025</t>
        </is>
      </c>
      <c r="B4518" s="1" t="n">
        <v>45890.37979166667</v>
      </c>
      <c r="C4518" s="1" t="n">
        <v>46011</v>
      </c>
      <c r="D4518" t="inlineStr">
        <is>
          <t>VÄSTRA GÖTALANDS LÄN</t>
        </is>
      </c>
      <c r="E4518" t="inlineStr">
        <is>
          <t>ESSUNGA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56673-2024</t>
        </is>
      </c>
      <c r="B4519" s="1" t="n">
        <v>45626.76655092592</v>
      </c>
      <c r="C4519" s="1" t="n">
        <v>46011</v>
      </c>
      <c r="D4519" t="inlineStr">
        <is>
          <t>VÄSTRA GÖTALANDS LÄN</t>
        </is>
      </c>
      <c r="E4519" t="inlineStr">
        <is>
          <t>ULRICEHAMN</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56682-2024</t>
        </is>
      </c>
      <c r="B4520" s="1" t="n">
        <v>45627.57983796296</v>
      </c>
      <c r="C4520" s="1" t="n">
        <v>46011</v>
      </c>
      <c r="D4520" t="inlineStr">
        <is>
          <t>VÄSTRA GÖTALANDS LÄN</t>
        </is>
      </c>
      <c r="E4520" t="inlineStr">
        <is>
          <t>TÖREBODA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39238-2025</t>
        </is>
      </c>
      <c r="B4521" s="1" t="n">
        <v>45889.33467592593</v>
      </c>
      <c r="C4521" s="1" t="n">
        <v>46011</v>
      </c>
      <c r="D4521" t="inlineStr">
        <is>
          <t>VÄSTRA GÖTALANDS LÄN</t>
        </is>
      </c>
      <c r="E4521" t="inlineStr">
        <is>
          <t>SKÖVDE</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39243-2025</t>
        </is>
      </c>
      <c r="B4522" s="1" t="n">
        <v>45889.34508101852</v>
      </c>
      <c r="C4522" s="1" t="n">
        <v>46011</v>
      </c>
      <c r="D4522" t="inlineStr">
        <is>
          <t>VÄSTRA GÖTALANDS LÄN</t>
        </is>
      </c>
      <c r="E4522" t="inlineStr">
        <is>
          <t>SKÖVDE</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26255-2025</t>
        </is>
      </c>
      <c r="B4523" s="1" t="n">
        <v>45805.58092592593</v>
      </c>
      <c r="C4523" s="1" t="n">
        <v>46011</v>
      </c>
      <c r="D4523" t="inlineStr">
        <is>
          <t>VÄSTRA GÖTALANDS LÄN</t>
        </is>
      </c>
      <c r="E4523" t="inlineStr">
        <is>
          <t>MARK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39618-2025</t>
        </is>
      </c>
      <c r="B4524" s="1" t="n">
        <v>45890.57114583333</v>
      </c>
      <c r="C4524" s="1" t="n">
        <v>46011</v>
      </c>
      <c r="D4524" t="inlineStr">
        <is>
          <t>VÄSTRA GÖTALANDS LÄN</t>
        </is>
      </c>
      <c r="E4524" t="inlineStr">
        <is>
          <t>MUNKEDAL</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39355-2024</t>
        </is>
      </c>
      <c r="B4525" s="1" t="n">
        <v>45551.46081018518</v>
      </c>
      <c r="C4525" s="1" t="n">
        <v>46011</v>
      </c>
      <c r="D4525" t="inlineStr">
        <is>
          <t>VÄSTRA GÖTALANDS LÄN</t>
        </is>
      </c>
      <c r="E4525" t="inlineStr">
        <is>
          <t>UDDEVALLA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50009-2024</t>
        </is>
      </c>
      <c r="B4526" s="1" t="n">
        <v>45598</v>
      </c>
      <c r="C4526" s="1" t="n">
        <v>46011</v>
      </c>
      <c r="D4526" t="inlineStr">
        <is>
          <t>VÄSTRA GÖTALANDS LÄN</t>
        </is>
      </c>
      <c r="E4526" t="inlineStr">
        <is>
          <t>FÄRGELANDA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65143-2023</t>
        </is>
      </c>
      <c r="B4527" s="1" t="n">
        <v>45288</v>
      </c>
      <c r="C4527" s="1" t="n">
        <v>46011</v>
      </c>
      <c r="D4527" t="inlineStr">
        <is>
          <t>VÄSTRA GÖTALANDS LÄN</t>
        </is>
      </c>
      <c r="E4527" t="inlineStr">
        <is>
          <t>BOLLEBYGD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37341-2024</t>
        </is>
      </c>
      <c r="B4528" s="1" t="n">
        <v>45540</v>
      </c>
      <c r="C4528" s="1" t="n">
        <v>46011</v>
      </c>
      <c r="D4528" t="inlineStr">
        <is>
          <t>VÄSTRA GÖTALANDS LÄN</t>
        </is>
      </c>
      <c r="E4528" t="inlineStr">
        <is>
          <t>BENGTSFORS</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31901-2025</t>
        </is>
      </c>
      <c r="B4529" s="1" t="n">
        <v>45825</v>
      </c>
      <c r="C4529" s="1" t="n">
        <v>46011</v>
      </c>
      <c r="D4529" t="inlineStr">
        <is>
          <t>VÄSTRA GÖTALANDS LÄN</t>
        </is>
      </c>
      <c r="E4529" t="inlineStr">
        <is>
          <t>TRANEMO</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59325-2023</t>
        </is>
      </c>
      <c r="B4530" s="1" t="n">
        <v>45253</v>
      </c>
      <c r="C4530" s="1" t="n">
        <v>46011</v>
      </c>
      <c r="D4530" t="inlineStr">
        <is>
          <t>VÄSTRA GÖTALANDS LÄN</t>
        </is>
      </c>
      <c r="E4530" t="inlineStr">
        <is>
          <t>VÅRGÅRDA</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10882-2025</t>
        </is>
      </c>
      <c r="B4531" s="1" t="n">
        <v>45722.65290509259</v>
      </c>
      <c r="C4531" s="1" t="n">
        <v>46011</v>
      </c>
      <c r="D4531" t="inlineStr">
        <is>
          <t>VÄSTRA GÖTALANDS LÄN</t>
        </is>
      </c>
      <c r="E4531" t="inlineStr">
        <is>
          <t>BENGTSFORS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39615-2025</t>
        </is>
      </c>
      <c r="B4532" s="1" t="n">
        <v>45890.56453703704</v>
      </c>
      <c r="C4532" s="1" t="n">
        <v>46011</v>
      </c>
      <c r="D4532" t="inlineStr">
        <is>
          <t>VÄSTRA GÖTALANDS LÄN</t>
        </is>
      </c>
      <c r="E4532" t="inlineStr">
        <is>
          <t>UDDEVALLA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5740-2025</t>
        </is>
      </c>
      <c r="B4533" s="1" t="n">
        <v>45694.5205324074</v>
      </c>
      <c r="C4533" s="1" t="n">
        <v>46011</v>
      </c>
      <c r="D4533" t="inlineStr">
        <is>
          <t>VÄSTRA GÖTALANDS LÄN</t>
        </is>
      </c>
      <c r="E4533" t="inlineStr">
        <is>
          <t>LILLA EDET</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26618-2025</t>
        </is>
      </c>
      <c r="B4534" s="1" t="n">
        <v>45810.30840277778</v>
      </c>
      <c r="C4534" s="1" t="n">
        <v>46011</v>
      </c>
      <c r="D4534" t="inlineStr">
        <is>
          <t>VÄSTRA GÖTALANDS LÄN</t>
        </is>
      </c>
      <c r="E4534" t="inlineStr">
        <is>
          <t>SKÖVDE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24179-2025</t>
        </is>
      </c>
      <c r="B4535" s="1" t="n">
        <v>45796.72856481482</v>
      </c>
      <c r="C4535" s="1" t="n">
        <v>46011</v>
      </c>
      <c r="D4535" t="inlineStr">
        <is>
          <t>VÄSTRA GÖTALANDS LÄN</t>
        </is>
      </c>
      <c r="E4535" t="inlineStr">
        <is>
          <t>ORUST</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9736-2024</t>
        </is>
      </c>
      <c r="B4536" s="1" t="n">
        <v>45362</v>
      </c>
      <c r="C4536" s="1" t="n">
        <v>46011</v>
      </c>
      <c r="D4536" t="inlineStr">
        <is>
          <t>VÄSTRA GÖTALANDS LÄN</t>
        </is>
      </c>
      <c r="E4536" t="inlineStr">
        <is>
          <t>FÄRGELANDA</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39657-2025</t>
        </is>
      </c>
      <c r="B4537" s="1" t="n">
        <v>45890.62850694444</v>
      </c>
      <c r="C4537" s="1" t="n">
        <v>46011</v>
      </c>
      <c r="D4537" t="inlineStr">
        <is>
          <t>VÄSTRA GÖTALANDS LÄN</t>
        </is>
      </c>
      <c r="E4537" t="inlineStr">
        <is>
          <t>MARK</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57399-2022</t>
        </is>
      </c>
      <c r="B4538" s="1" t="n">
        <v>44896</v>
      </c>
      <c r="C4538" s="1" t="n">
        <v>46011</v>
      </c>
      <c r="D4538" t="inlineStr">
        <is>
          <t>VÄSTRA GÖTALANDS LÄN</t>
        </is>
      </c>
      <c r="E4538" t="inlineStr">
        <is>
          <t>MARK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6384-2025</t>
        </is>
      </c>
      <c r="B4539" s="1" t="n">
        <v>45699.42287037037</v>
      </c>
      <c r="C4539" s="1" t="n">
        <v>46011</v>
      </c>
      <c r="D4539" t="inlineStr">
        <is>
          <t>VÄSTRA GÖTALANDS LÄN</t>
        </is>
      </c>
      <c r="E4539" t="inlineStr">
        <is>
          <t>LILLA EDET</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7115-2025</t>
        </is>
      </c>
      <c r="B4540" s="1" t="n">
        <v>45702</v>
      </c>
      <c r="C4540" s="1" t="n">
        <v>46011</v>
      </c>
      <c r="D4540" t="inlineStr">
        <is>
          <t>VÄSTRA GÖTALANDS LÄN</t>
        </is>
      </c>
      <c r="E4540" t="inlineStr">
        <is>
          <t>BORÅS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60106-2022</t>
        </is>
      </c>
      <c r="B4541" s="1" t="n">
        <v>44909.63509259259</v>
      </c>
      <c r="C4541" s="1" t="n">
        <v>46011</v>
      </c>
      <c r="D4541" t="inlineStr">
        <is>
          <t>VÄSTRA GÖTALANDS LÄN</t>
        </is>
      </c>
      <c r="E4541" t="inlineStr">
        <is>
          <t>DALS-ED</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60832-2024</t>
        </is>
      </c>
      <c r="B4542" s="1" t="n">
        <v>45644.64081018518</v>
      </c>
      <c r="C4542" s="1" t="n">
        <v>46011</v>
      </c>
      <c r="D4542" t="inlineStr">
        <is>
          <t>VÄSTRA GÖTALANDS LÄN</t>
        </is>
      </c>
      <c r="E4542" t="inlineStr">
        <is>
          <t>STENUNGSUND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10690-2025</t>
        </is>
      </c>
      <c r="B4543" s="1" t="n">
        <v>45722.2999537037</v>
      </c>
      <c r="C4543" s="1" t="n">
        <v>46011</v>
      </c>
      <c r="D4543" t="inlineStr">
        <is>
          <t>VÄSTRA GÖTALANDS LÄN</t>
        </is>
      </c>
      <c r="E4543" t="inlineStr">
        <is>
          <t>ESSUNGA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39347-2025</t>
        </is>
      </c>
      <c r="B4544" s="1" t="n">
        <v>45889.5378587963</v>
      </c>
      <c r="C4544" s="1" t="n">
        <v>46011</v>
      </c>
      <c r="D4544" t="inlineStr">
        <is>
          <t>VÄSTRA GÖTALANDS LÄN</t>
        </is>
      </c>
      <c r="E4544" t="inlineStr">
        <is>
          <t>TANUM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39371-2025</t>
        </is>
      </c>
      <c r="B4545" s="1" t="n">
        <v>45889.58263888889</v>
      </c>
      <c r="C4545" s="1" t="n">
        <v>46011</v>
      </c>
      <c r="D4545" t="inlineStr">
        <is>
          <t>VÄSTRA GÖTALANDS LÄN</t>
        </is>
      </c>
      <c r="E4545" t="inlineStr">
        <is>
          <t>VARA</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4243-2025</t>
        </is>
      </c>
      <c r="B4546" s="1" t="n">
        <v>45685.58085648148</v>
      </c>
      <c r="C4546" s="1" t="n">
        <v>46011</v>
      </c>
      <c r="D4546" t="inlineStr">
        <is>
          <t>VÄSTRA GÖTALANDS LÄN</t>
        </is>
      </c>
      <c r="E4546" t="inlineStr">
        <is>
          <t>HJO</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39274-2025</t>
        </is>
      </c>
      <c r="B4547" s="1" t="n">
        <v>45889.3877662037</v>
      </c>
      <c r="C4547" s="1" t="n">
        <v>46011</v>
      </c>
      <c r="D4547" t="inlineStr">
        <is>
          <t>VÄSTRA GÖTALANDS LÄN</t>
        </is>
      </c>
      <c r="E4547" t="inlineStr">
        <is>
          <t>MARK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61171-2022</t>
        </is>
      </c>
      <c r="B4548" s="1" t="n">
        <v>44915</v>
      </c>
      <c r="C4548" s="1" t="n">
        <v>46011</v>
      </c>
      <c r="D4548" t="inlineStr">
        <is>
          <t>VÄSTRA GÖTALANDS LÄN</t>
        </is>
      </c>
      <c r="E4548" t="inlineStr">
        <is>
          <t>SVENLJUNGA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59440-2022</t>
        </is>
      </c>
      <c r="B4549" s="1" t="n">
        <v>44907.39542824074</v>
      </c>
      <c r="C4549" s="1" t="n">
        <v>46011</v>
      </c>
      <c r="D4549" t="inlineStr">
        <is>
          <t>VÄSTRA GÖTALANDS LÄN</t>
        </is>
      </c>
      <c r="E4549" t="inlineStr">
        <is>
          <t>TÖREBODA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26828-2025</t>
        </is>
      </c>
      <c r="B4550" s="1" t="n">
        <v>45810.65199074074</v>
      </c>
      <c r="C4550" s="1" t="n">
        <v>46011</v>
      </c>
      <c r="D4550" t="inlineStr">
        <is>
          <t>VÄSTRA GÖTALANDS LÄN</t>
        </is>
      </c>
      <c r="E4550" t="inlineStr">
        <is>
          <t>HERRLJUNGA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26856-2025</t>
        </is>
      </c>
      <c r="B4551" s="1" t="n">
        <v>45810.67539351852</v>
      </c>
      <c r="C4551" s="1" t="n">
        <v>46011</v>
      </c>
      <c r="D4551" t="inlineStr">
        <is>
          <t>VÄSTRA GÖTALANDS LÄN</t>
        </is>
      </c>
      <c r="E4551" t="inlineStr">
        <is>
          <t>BENGTSFORS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26859-2025</t>
        </is>
      </c>
      <c r="B4552" s="1" t="n">
        <v>45810.67752314815</v>
      </c>
      <c r="C4552" s="1" t="n">
        <v>46011</v>
      </c>
      <c r="D4552" t="inlineStr">
        <is>
          <t>VÄSTRA GÖTALANDS LÄN</t>
        </is>
      </c>
      <c r="E4552" t="inlineStr">
        <is>
          <t>GRÄSTORP</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61211-2022</t>
        </is>
      </c>
      <c r="B4553" s="1" t="n">
        <v>44908</v>
      </c>
      <c r="C4553" s="1" t="n">
        <v>46011</v>
      </c>
      <c r="D4553" t="inlineStr">
        <is>
          <t>VÄSTRA GÖTALANDS LÄN</t>
        </is>
      </c>
      <c r="E4553" t="inlineStr">
        <is>
          <t>KARLSBORG</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57313-2024</t>
        </is>
      </c>
      <c r="B4554" s="1" t="n">
        <v>45629</v>
      </c>
      <c r="C4554" s="1" t="n">
        <v>46011</v>
      </c>
      <c r="D4554" t="inlineStr">
        <is>
          <t>VÄSTRA GÖTALANDS LÄN</t>
        </is>
      </c>
      <c r="E4554" t="inlineStr">
        <is>
          <t>VARA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39395-2025</t>
        </is>
      </c>
      <c r="B4555" s="1" t="n">
        <v>45889.63163194444</v>
      </c>
      <c r="C4555" s="1" t="n">
        <v>46011</v>
      </c>
      <c r="D4555" t="inlineStr">
        <is>
          <t>VÄSTRA GÖTALANDS LÄN</t>
        </is>
      </c>
      <c r="E4555" t="inlineStr">
        <is>
          <t>UDDEVALLA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39407-2025</t>
        </is>
      </c>
      <c r="B4556" s="1" t="n">
        <v>45889.63934027778</v>
      </c>
      <c r="C4556" s="1" t="n">
        <v>46011</v>
      </c>
      <c r="D4556" t="inlineStr">
        <is>
          <t>VÄSTRA GÖTALANDS LÄN</t>
        </is>
      </c>
      <c r="E4556" t="inlineStr">
        <is>
          <t>ULRICEHAMN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39401-2025</t>
        </is>
      </c>
      <c r="B4557" s="1" t="n">
        <v>45889.63513888889</v>
      </c>
      <c r="C4557" s="1" t="n">
        <v>46011</v>
      </c>
      <c r="D4557" t="inlineStr">
        <is>
          <t>VÄSTRA GÖTALANDS LÄN</t>
        </is>
      </c>
      <c r="E4557" t="inlineStr">
        <is>
          <t>ULRICEHAMN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4883-2024</t>
        </is>
      </c>
      <c r="B4558" s="1" t="n">
        <v>45329</v>
      </c>
      <c r="C4558" s="1" t="n">
        <v>46011</v>
      </c>
      <c r="D4558" t="inlineStr">
        <is>
          <t>VÄSTRA GÖTALANDS LÄN</t>
        </is>
      </c>
      <c r="E4558" t="inlineStr">
        <is>
          <t>LERUM</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50965-2024</t>
        </is>
      </c>
      <c r="B4559" s="1" t="n">
        <v>45603</v>
      </c>
      <c r="C4559" s="1" t="n">
        <v>46011</v>
      </c>
      <c r="D4559" t="inlineStr">
        <is>
          <t>VÄSTRA GÖTALANDS LÄN</t>
        </is>
      </c>
      <c r="E4559" t="inlineStr">
        <is>
          <t>ULRICEHAMN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26712-2025</t>
        </is>
      </c>
      <c r="B4560" s="1" t="n">
        <v>45810.46396990741</v>
      </c>
      <c r="C4560" s="1" t="n">
        <v>46011</v>
      </c>
      <c r="D4560" t="inlineStr">
        <is>
          <t>VÄSTRA GÖTALANDS LÄN</t>
        </is>
      </c>
      <c r="E4560" t="inlineStr">
        <is>
          <t>SKÖVDE</t>
        </is>
      </c>
      <c r="F4560" t="inlineStr">
        <is>
          <t>Kommuner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13890-2022</t>
        </is>
      </c>
      <c r="B4561" s="1" t="n">
        <v>44649</v>
      </c>
      <c r="C4561" s="1" t="n">
        <v>46011</v>
      </c>
      <c r="D4561" t="inlineStr">
        <is>
          <t>VÄSTRA GÖTALANDS LÄN</t>
        </is>
      </c>
      <c r="E4561" t="inlineStr">
        <is>
          <t>STRÖMSTAD</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19631-2022</t>
        </is>
      </c>
      <c r="B4562" s="1" t="n">
        <v>44694</v>
      </c>
      <c r="C4562" s="1" t="n">
        <v>46011</v>
      </c>
      <c r="D4562" t="inlineStr">
        <is>
          <t>VÄSTRA GÖTALANDS LÄN</t>
        </is>
      </c>
      <c r="E4562" t="inlineStr">
        <is>
          <t>MUNKEDAL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62015-2022</t>
        </is>
      </c>
      <c r="B4563" s="1" t="n">
        <v>44918.46096064815</v>
      </c>
      <c r="C4563" s="1" t="n">
        <v>46011</v>
      </c>
      <c r="D4563" t="inlineStr">
        <is>
          <t>VÄSTRA GÖTALANDS LÄN</t>
        </is>
      </c>
      <c r="E4563" t="inlineStr">
        <is>
          <t>HERRLJUNGA</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25176-2023</t>
        </is>
      </c>
      <c r="B4564" s="1" t="n">
        <v>45086</v>
      </c>
      <c r="C4564" s="1" t="n">
        <v>46011</v>
      </c>
      <c r="D4564" t="inlineStr">
        <is>
          <t>VÄSTRA GÖTALANDS LÄN</t>
        </is>
      </c>
      <c r="E4564" t="inlineStr">
        <is>
          <t>SKARA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39339-2025</t>
        </is>
      </c>
      <c r="B4565" s="1" t="n">
        <v>45889.49938657408</v>
      </c>
      <c r="C4565" s="1" t="n">
        <v>46011</v>
      </c>
      <c r="D4565" t="inlineStr">
        <is>
          <t>VÄSTRA GÖTALANDS LÄN</t>
        </is>
      </c>
      <c r="E4565" t="inlineStr">
        <is>
          <t>BENGTSFORS</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17817-2024</t>
        </is>
      </c>
      <c r="B4566" s="1" t="n">
        <v>45418</v>
      </c>
      <c r="C4566" s="1" t="n">
        <v>46011</v>
      </c>
      <c r="D4566" t="inlineStr">
        <is>
          <t>VÄSTRA GÖTALANDS LÄN</t>
        </is>
      </c>
      <c r="E4566" t="inlineStr">
        <is>
          <t>HERRLJUNGA</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28107-2023</t>
        </is>
      </c>
      <c r="B4567" s="1" t="n">
        <v>45099.45586805556</v>
      </c>
      <c r="C4567" s="1" t="n">
        <v>46011</v>
      </c>
      <c r="D4567" t="inlineStr">
        <is>
          <t>VÄSTRA GÖTALANDS LÄN</t>
        </is>
      </c>
      <c r="E4567" t="inlineStr">
        <is>
          <t>ULRICEHAMN</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7931-2024</t>
        </is>
      </c>
      <c r="B4568" s="1" t="n">
        <v>45350.48810185185</v>
      </c>
      <c r="C4568" s="1" t="n">
        <v>46011</v>
      </c>
      <c r="D4568" t="inlineStr">
        <is>
          <t>VÄSTRA GÖTALANDS LÄN</t>
        </is>
      </c>
      <c r="E4568" t="inlineStr">
        <is>
          <t>TIDAHOLM</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60253-2024</t>
        </is>
      </c>
      <c r="B4569" s="1" t="n">
        <v>45642</v>
      </c>
      <c r="C4569" s="1" t="n">
        <v>46011</v>
      </c>
      <c r="D4569" t="inlineStr">
        <is>
          <t>VÄSTRA GÖTALANDS LÄN</t>
        </is>
      </c>
      <c r="E4569" t="inlineStr">
        <is>
          <t>TIBRO</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39374-2025</t>
        </is>
      </c>
      <c r="B4570" s="1" t="n">
        <v>45889.58648148148</v>
      </c>
      <c r="C4570" s="1" t="n">
        <v>46011</v>
      </c>
      <c r="D4570" t="inlineStr">
        <is>
          <t>VÄSTRA GÖTALANDS LÄN</t>
        </is>
      </c>
      <c r="E4570" t="inlineStr">
        <is>
          <t>VARA</t>
        </is>
      </c>
      <c r="F4570" t="inlineStr">
        <is>
          <t>Sveaskog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10703-2025</t>
        </is>
      </c>
      <c r="B4571" s="1" t="n">
        <v>45722.33243055556</v>
      </c>
      <c r="C4571" s="1" t="n">
        <v>46011</v>
      </c>
      <c r="D4571" t="inlineStr">
        <is>
          <t>VÄSTRA GÖTALANDS LÄN</t>
        </is>
      </c>
      <c r="E4571" t="inlineStr">
        <is>
          <t>GÖTENE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60258-2024</t>
        </is>
      </c>
      <c r="B4572" s="1" t="n">
        <v>45642</v>
      </c>
      <c r="C4572" s="1" t="n">
        <v>46011</v>
      </c>
      <c r="D4572" t="inlineStr">
        <is>
          <t>VÄSTRA GÖTALANDS LÄN</t>
        </is>
      </c>
      <c r="E4572" t="inlineStr">
        <is>
          <t>TIBRO</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60259-2024</t>
        </is>
      </c>
      <c r="B4573" s="1" t="n">
        <v>45642</v>
      </c>
      <c r="C4573" s="1" t="n">
        <v>46011</v>
      </c>
      <c r="D4573" t="inlineStr">
        <is>
          <t>VÄSTRA GÖTALANDS LÄN</t>
        </is>
      </c>
      <c r="E4573" t="inlineStr">
        <is>
          <t>TIBRO</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26864-2024</t>
        </is>
      </c>
      <c r="B4574" s="1" t="n">
        <v>45470.60967592592</v>
      </c>
      <c r="C4574" s="1" t="n">
        <v>46011</v>
      </c>
      <c r="D4574" t="inlineStr">
        <is>
          <t>VÄSTRA GÖTALANDS LÄN</t>
        </is>
      </c>
      <c r="E4574" t="inlineStr">
        <is>
          <t>DALS-ED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46514-2024</t>
        </is>
      </c>
      <c r="B4575" s="1" t="n">
        <v>45582.62592592592</v>
      </c>
      <c r="C4575" s="1" t="n">
        <v>46011</v>
      </c>
      <c r="D4575" t="inlineStr">
        <is>
          <t>VÄSTRA GÖTALANDS LÄN</t>
        </is>
      </c>
      <c r="E4575" t="inlineStr">
        <is>
          <t>VÄNERSBORG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46521-2024</t>
        </is>
      </c>
      <c r="B4576" s="1" t="n">
        <v>45582.62986111111</v>
      </c>
      <c r="C4576" s="1" t="n">
        <v>46011</v>
      </c>
      <c r="D4576" t="inlineStr">
        <is>
          <t>VÄSTRA GÖTALANDS LÄN</t>
        </is>
      </c>
      <c r="E4576" t="inlineStr">
        <is>
          <t>VÄNERSBORG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40527-2023</t>
        </is>
      </c>
      <c r="B4577" s="1" t="n">
        <v>45170.43162037037</v>
      </c>
      <c r="C4577" s="1" t="n">
        <v>46011</v>
      </c>
      <c r="D4577" t="inlineStr">
        <is>
          <t>VÄSTRA GÖTALANDS LÄN</t>
        </is>
      </c>
      <c r="E4577" t="inlineStr">
        <is>
          <t>TIDAHOLM</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8092-2025</t>
        </is>
      </c>
      <c r="B4578" s="1" t="n">
        <v>45707.67640046297</v>
      </c>
      <c r="C4578" s="1" t="n">
        <v>46011</v>
      </c>
      <c r="D4578" t="inlineStr">
        <is>
          <t>VÄSTRA GÖTALANDS LÄN</t>
        </is>
      </c>
      <c r="E4578" t="inlineStr">
        <is>
          <t>ÅMÅL</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53930-2024</t>
        </is>
      </c>
      <c r="B4579" s="1" t="n">
        <v>45615</v>
      </c>
      <c r="C4579" s="1" t="n">
        <v>46011</v>
      </c>
      <c r="D4579" t="inlineStr">
        <is>
          <t>VÄSTRA GÖTALANDS LÄN</t>
        </is>
      </c>
      <c r="E4579" t="inlineStr">
        <is>
          <t>BORÅS</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39333-2025</t>
        </is>
      </c>
      <c r="B4580" s="1" t="n">
        <v>45889.4900462963</v>
      </c>
      <c r="C4580" s="1" t="n">
        <v>46011</v>
      </c>
      <c r="D4580" t="inlineStr">
        <is>
          <t>VÄSTRA GÖTALANDS LÄN</t>
        </is>
      </c>
      <c r="E4580" t="inlineStr">
        <is>
          <t>BENGTSFORS</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10560-2025</t>
        </is>
      </c>
      <c r="B4581" s="1" t="n">
        <v>45721.5255787037</v>
      </c>
      <c r="C4581" s="1" t="n">
        <v>46011</v>
      </c>
      <c r="D4581" t="inlineStr">
        <is>
          <t>VÄSTRA GÖTALANDS LÄN</t>
        </is>
      </c>
      <c r="E4581" t="inlineStr">
        <is>
          <t>SKÖVDE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5004-2022</t>
        </is>
      </c>
      <c r="B4582" s="1" t="n">
        <v>44593.61201388889</v>
      </c>
      <c r="C4582" s="1" t="n">
        <v>46011</v>
      </c>
      <c r="D4582" t="inlineStr">
        <is>
          <t>VÄSTRA GÖTALANDS LÄN</t>
        </is>
      </c>
      <c r="E4582" t="inlineStr">
        <is>
          <t>TRANEMO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2117-2022</t>
        </is>
      </c>
      <c r="B4583" s="1" t="n">
        <v>44578.30037037037</v>
      </c>
      <c r="C4583" s="1" t="n">
        <v>46011</v>
      </c>
      <c r="D4583" t="inlineStr">
        <is>
          <t>VÄSTRA GÖTALANDS LÄN</t>
        </is>
      </c>
      <c r="E4583" t="inlineStr">
        <is>
          <t>FÄRGELANDA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39365-2025</t>
        </is>
      </c>
      <c r="B4584" s="1" t="n">
        <v>45889.5662962963</v>
      </c>
      <c r="C4584" s="1" t="n">
        <v>46011</v>
      </c>
      <c r="D4584" t="inlineStr">
        <is>
          <t>VÄSTRA GÖTALANDS LÄN</t>
        </is>
      </c>
      <c r="E4584" t="inlineStr">
        <is>
          <t>SKARA</t>
        </is>
      </c>
      <c r="F4584" t="inlineStr">
        <is>
          <t>Sveaskog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39367-2025</t>
        </is>
      </c>
      <c r="B4585" s="1" t="n">
        <v>45889.57412037037</v>
      </c>
      <c r="C4585" s="1" t="n">
        <v>46011</v>
      </c>
      <c r="D4585" t="inlineStr">
        <is>
          <t>VÄSTRA GÖTALANDS LÄN</t>
        </is>
      </c>
      <c r="E4585" t="inlineStr">
        <is>
          <t>SKARA</t>
        </is>
      </c>
      <c r="F4585" t="inlineStr">
        <is>
          <t>Sveaskog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39394-2025</t>
        </is>
      </c>
      <c r="B4586" s="1" t="n">
        <v>45889.63019675926</v>
      </c>
      <c r="C4586" s="1" t="n">
        <v>46011</v>
      </c>
      <c r="D4586" t="inlineStr">
        <is>
          <t>VÄSTRA GÖTALANDS LÄN</t>
        </is>
      </c>
      <c r="E4586" t="inlineStr">
        <is>
          <t>TÖREBODA</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54579-2024</t>
        </is>
      </c>
      <c r="B4587" s="1" t="n">
        <v>45617</v>
      </c>
      <c r="C4587" s="1" t="n">
        <v>46011</v>
      </c>
      <c r="D4587" t="inlineStr">
        <is>
          <t>VÄSTRA GÖTALANDS LÄN</t>
        </is>
      </c>
      <c r="E4587" t="inlineStr">
        <is>
          <t>ALINGSÅS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58972-2024</t>
        </is>
      </c>
      <c r="B4588" s="1" t="n">
        <v>45636.60099537037</v>
      </c>
      <c r="C4588" s="1" t="n">
        <v>46011</v>
      </c>
      <c r="D4588" t="inlineStr">
        <is>
          <t>VÄSTRA GÖTALANDS LÄN</t>
        </is>
      </c>
      <c r="E4588" t="inlineStr">
        <is>
          <t>VÄNERSBORG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54586-2023</t>
        </is>
      </c>
      <c r="B4589" s="1" t="n">
        <v>45233.77412037037</v>
      </c>
      <c r="C4589" s="1" t="n">
        <v>46011</v>
      </c>
      <c r="D4589" t="inlineStr">
        <is>
          <t>VÄSTRA GÖTALANDS LÄN</t>
        </is>
      </c>
      <c r="E4589" t="inlineStr">
        <is>
          <t>VÅRGÅRDA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39492-2025</t>
        </is>
      </c>
      <c r="B4590" s="1" t="n">
        <v>45890</v>
      </c>
      <c r="C4590" s="1" t="n">
        <v>46011</v>
      </c>
      <c r="D4590" t="inlineStr">
        <is>
          <t>VÄSTRA GÖTALANDS LÄN</t>
        </is>
      </c>
      <c r="E4590" t="inlineStr">
        <is>
          <t>SKARA</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39493-2025</t>
        </is>
      </c>
      <c r="B4591" s="1" t="n">
        <v>45890.37572916667</v>
      </c>
      <c r="C4591" s="1" t="n">
        <v>46011</v>
      </c>
      <c r="D4591" t="inlineStr">
        <is>
          <t>VÄSTRA GÖTALANDS LÄN</t>
        </is>
      </c>
      <c r="E4591" t="inlineStr">
        <is>
          <t>ULRICEHAMN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13989-2025</t>
        </is>
      </c>
      <c r="B4592" s="1" t="n">
        <v>45739.40741898148</v>
      </c>
      <c r="C4592" s="1" t="n">
        <v>46011</v>
      </c>
      <c r="D4592" t="inlineStr">
        <is>
          <t>VÄSTRA GÖTALANDS LÄN</t>
        </is>
      </c>
      <c r="E4592" t="inlineStr">
        <is>
          <t>SVENLJUNGA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39512-2025</t>
        </is>
      </c>
      <c r="B4593" s="1" t="n">
        <v>45890</v>
      </c>
      <c r="C4593" s="1" t="n">
        <v>46011</v>
      </c>
      <c r="D4593" t="inlineStr">
        <is>
          <t>VÄSTRA GÖTALANDS LÄN</t>
        </is>
      </c>
      <c r="E4593" t="inlineStr">
        <is>
          <t>TANUM</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12292-2024</t>
        </is>
      </c>
      <c r="B4594" s="1" t="n">
        <v>45378.58028935185</v>
      </c>
      <c r="C4594" s="1" t="n">
        <v>46011</v>
      </c>
      <c r="D4594" t="inlineStr">
        <is>
          <t>VÄSTRA GÖTALANDS LÄN</t>
        </is>
      </c>
      <c r="E4594" t="inlineStr">
        <is>
          <t>BENGTSFORS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6420-2025</t>
        </is>
      </c>
      <c r="B4595" s="1" t="n">
        <v>45699.48056712963</v>
      </c>
      <c r="C4595" s="1" t="n">
        <v>46011</v>
      </c>
      <c r="D4595" t="inlineStr">
        <is>
          <t>VÄSTRA GÖTALANDS LÄN</t>
        </is>
      </c>
      <c r="E4595" t="inlineStr">
        <is>
          <t>ULRICEHAMN</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32205-2024</t>
        </is>
      </c>
      <c r="B4596" s="1" t="n">
        <v>45511.67317129629</v>
      </c>
      <c r="C4596" s="1" t="n">
        <v>46011</v>
      </c>
      <c r="D4596" t="inlineStr">
        <is>
          <t>VÄSTRA GÖTALANDS LÄN</t>
        </is>
      </c>
      <c r="E4596" t="inlineStr">
        <is>
          <t>FALKÖPING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39553-2025</t>
        </is>
      </c>
      <c r="B4597" s="1" t="n">
        <v>45890.46686342593</v>
      </c>
      <c r="C4597" s="1" t="n">
        <v>46011</v>
      </c>
      <c r="D4597" t="inlineStr">
        <is>
          <t>VÄSTRA GÖTALANDS LÄN</t>
        </is>
      </c>
      <c r="E4597" t="inlineStr">
        <is>
          <t>HERRLJUNGA</t>
        </is>
      </c>
      <c r="F4597" t="inlineStr">
        <is>
          <t>Sveaskog</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39465-2025</t>
        </is>
      </c>
      <c r="B4598" s="1" t="n">
        <v>45890.25476851852</v>
      </c>
      <c r="C4598" s="1" t="n">
        <v>46011</v>
      </c>
      <c r="D4598" t="inlineStr">
        <is>
          <t>VÄSTRA GÖTALANDS LÄN</t>
        </is>
      </c>
      <c r="E4598" t="inlineStr">
        <is>
          <t>SVENLJUNGA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49863-2024</t>
        </is>
      </c>
      <c r="B4599" s="1" t="n">
        <v>45597</v>
      </c>
      <c r="C4599" s="1" t="n">
        <v>46011</v>
      </c>
      <c r="D4599" t="inlineStr">
        <is>
          <t>VÄSTRA GÖTALANDS LÄN</t>
        </is>
      </c>
      <c r="E4599" t="inlineStr">
        <is>
          <t>DALS-ED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69264-2021</t>
        </is>
      </c>
      <c r="B4600" s="1" t="n">
        <v>44531.43556712963</v>
      </c>
      <c r="C4600" s="1" t="n">
        <v>46011</v>
      </c>
      <c r="D4600" t="inlineStr">
        <is>
          <t>VÄSTRA GÖTALANDS LÄN</t>
        </is>
      </c>
      <c r="E4600" t="inlineStr">
        <is>
          <t>MARK</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60645-2022</t>
        </is>
      </c>
      <c r="B4601" s="1" t="n">
        <v>44911.72645833333</v>
      </c>
      <c r="C4601" s="1" t="n">
        <v>46011</v>
      </c>
      <c r="D4601" t="inlineStr">
        <is>
          <t>VÄSTRA GÖTALANDS LÄN</t>
        </is>
      </c>
      <c r="E4601" t="inlineStr">
        <is>
          <t>TIDAHOLM</t>
        </is>
      </c>
      <c r="F4601" t="inlineStr">
        <is>
          <t>Sveaskog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39603-2025</t>
        </is>
      </c>
      <c r="B4602" s="1" t="n">
        <v>45890.55368055555</v>
      </c>
      <c r="C4602" s="1" t="n">
        <v>46011</v>
      </c>
      <c r="D4602" t="inlineStr">
        <is>
          <t>VÄSTRA GÖTALANDS LÄN</t>
        </is>
      </c>
      <c r="E4602" t="inlineStr">
        <is>
          <t>TRANEMO</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39605-2025</t>
        </is>
      </c>
      <c r="B4603" s="1" t="n">
        <v>45890.55513888889</v>
      </c>
      <c r="C4603" s="1" t="n">
        <v>46011</v>
      </c>
      <c r="D4603" t="inlineStr">
        <is>
          <t>VÄSTRA GÖTALANDS LÄN</t>
        </is>
      </c>
      <c r="E4603" t="inlineStr">
        <is>
          <t>TRANEMO</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39616-2025</t>
        </is>
      </c>
      <c r="B4604" s="1" t="n">
        <v>45890.56574074074</v>
      </c>
      <c r="C4604" s="1" t="n">
        <v>46011</v>
      </c>
      <c r="D4604" t="inlineStr">
        <is>
          <t>VÄSTRA GÖTALANDS LÄN</t>
        </is>
      </c>
      <c r="E4604" t="inlineStr">
        <is>
          <t>UDDEVALLA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26691-2025</t>
        </is>
      </c>
      <c r="B4605" s="1" t="n">
        <v>45810.43835648148</v>
      </c>
      <c r="C4605" s="1" t="n">
        <v>46011</v>
      </c>
      <c r="D4605" t="inlineStr">
        <is>
          <t>VÄSTRA GÖTALANDS LÄN</t>
        </is>
      </c>
      <c r="E4605" t="inlineStr">
        <is>
          <t>ALINGSÅS</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35814-2023</t>
        </is>
      </c>
      <c r="B4606" s="1" t="n">
        <v>45148</v>
      </c>
      <c r="C4606" s="1" t="n">
        <v>46011</v>
      </c>
      <c r="D4606" t="inlineStr">
        <is>
          <t>VÄSTRA GÖTALANDS LÄN</t>
        </is>
      </c>
      <c r="E4606" t="inlineStr">
        <is>
          <t>MUNKEDAL</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35836-2023</t>
        </is>
      </c>
      <c r="B4607" s="1" t="n">
        <v>45148</v>
      </c>
      <c r="C4607" s="1" t="n">
        <v>46011</v>
      </c>
      <c r="D4607" t="inlineStr">
        <is>
          <t>VÄSTRA GÖTALANDS LÄN</t>
        </is>
      </c>
      <c r="E4607" t="inlineStr">
        <is>
          <t>FALKÖPING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45519-2023</t>
        </is>
      </c>
      <c r="B4608" s="1" t="n">
        <v>45194.49783564815</v>
      </c>
      <c r="C4608" s="1" t="n">
        <v>46011</v>
      </c>
      <c r="D4608" t="inlineStr">
        <is>
          <t>VÄSTRA GÖTALANDS LÄN</t>
        </is>
      </c>
      <c r="E4608" t="inlineStr">
        <is>
          <t>TROLLHÄTTAN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57295-2024</t>
        </is>
      </c>
      <c r="B4609" s="1" t="n">
        <v>45629</v>
      </c>
      <c r="C4609" s="1" t="n">
        <v>46011</v>
      </c>
      <c r="D4609" t="inlineStr">
        <is>
          <t>VÄSTRA GÖTALANDS LÄN</t>
        </is>
      </c>
      <c r="E4609" t="inlineStr">
        <is>
          <t>VARA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60395-2024</t>
        </is>
      </c>
      <c r="B4610" s="1" t="n">
        <v>45643</v>
      </c>
      <c r="C4610" s="1" t="n">
        <v>46011</v>
      </c>
      <c r="D4610" t="inlineStr">
        <is>
          <t>VÄSTRA GÖTALANDS LÄN</t>
        </is>
      </c>
      <c r="E4610" t="inlineStr">
        <is>
          <t>MELLERUD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48034-2024</t>
        </is>
      </c>
      <c r="B4611" s="1" t="n">
        <v>45589.49070601852</v>
      </c>
      <c r="C4611" s="1" t="n">
        <v>46011</v>
      </c>
      <c r="D4611" t="inlineStr">
        <is>
          <t>VÄSTRA GÖTALANDS LÄN</t>
        </is>
      </c>
      <c r="E4611" t="inlineStr">
        <is>
          <t>VÄNERSBORG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41166-2024</t>
        </is>
      </c>
      <c r="B4612" s="1" t="n">
        <v>45559.48377314815</v>
      </c>
      <c r="C4612" s="1" t="n">
        <v>46011</v>
      </c>
      <c r="D4612" t="inlineStr">
        <is>
          <t>VÄSTRA GÖTALANDS LÄN</t>
        </is>
      </c>
      <c r="E4612" t="inlineStr">
        <is>
          <t>BENGTSFORS</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12968-2025</t>
        </is>
      </c>
      <c r="B4613" s="1" t="n">
        <v>45734.43648148148</v>
      </c>
      <c r="C4613" s="1" t="n">
        <v>46011</v>
      </c>
      <c r="D4613" t="inlineStr">
        <is>
          <t>VÄSTRA GÖTALANDS LÄN</t>
        </is>
      </c>
      <c r="E4613" t="inlineStr">
        <is>
          <t>ALINGSÅS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27819-2024</t>
        </is>
      </c>
      <c r="B4614" s="1" t="n">
        <v>45475</v>
      </c>
      <c r="C4614" s="1" t="n">
        <v>46011</v>
      </c>
      <c r="D4614" t="inlineStr">
        <is>
          <t>VÄSTRA GÖTALANDS LÄN</t>
        </is>
      </c>
      <c r="E4614" t="inlineStr">
        <is>
          <t>VARA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44867-2022</t>
        </is>
      </c>
      <c r="B4615" s="1" t="n">
        <v>44840</v>
      </c>
      <c r="C4615" s="1" t="n">
        <v>46011</v>
      </c>
      <c r="D4615" t="inlineStr">
        <is>
          <t>VÄSTRA GÖTALANDS LÄN</t>
        </is>
      </c>
      <c r="E4615" t="inlineStr">
        <is>
          <t>SKÖVDE</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9779-2024</t>
        </is>
      </c>
      <c r="B4616" s="1" t="n">
        <v>45362.65846064815</v>
      </c>
      <c r="C4616" s="1" t="n">
        <v>46011</v>
      </c>
      <c r="D4616" t="inlineStr">
        <is>
          <t>VÄSTRA GÖTALANDS LÄN</t>
        </is>
      </c>
      <c r="E4616" t="inlineStr">
        <is>
          <t>TRANEMO</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61566-2024</t>
        </is>
      </c>
      <c r="B4617" s="1" t="n">
        <v>45646.61444444444</v>
      </c>
      <c r="C4617" s="1" t="n">
        <v>46011</v>
      </c>
      <c r="D4617" t="inlineStr">
        <is>
          <t>VÄSTRA GÖTALANDS LÄN</t>
        </is>
      </c>
      <c r="E4617" t="inlineStr">
        <is>
          <t>VÄNERSBORG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11437-2022</t>
        </is>
      </c>
      <c r="B4618" s="1" t="n">
        <v>44630.62163194444</v>
      </c>
      <c r="C4618" s="1" t="n">
        <v>46011</v>
      </c>
      <c r="D4618" t="inlineStr">
        <is>
          <t>VÄSTRA GÖTALANDS LÄN</t>
        </is>
      </c>
      <c r="E4618" t="inlineStr">
        <is>
          <t>TIDAHOLM</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26850-2025</t>
        </is>
      </c>
      <c r="B4619" s="1" t="n">
        <v>45810.67208333333</v>
      </c>
      <c r="C4619" s="1" t="n">
        <v>46011</v>
      </c>
      <c r="D4619" t="inlineStr">
        <is>
          <t>VÄSTRA GÖTALANDS LÄN</t>
        </is>
      </c>
      <c r="E4619" t="inlineStr">
        <is>
          <t>BENGTSFORS</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26853-2025</t>
        </is>
      </c>
      <c r="B4620" s="1" t="n">
        <v>45810.67379629629</v>
      </c>
      <c r="C4620" s="1" t="n">
        <v>46011</v>
      </c>
      <c r="D4620" t="inlineStr">
        <is>
          <t>VÄSTRA GÖTALANDS LÄN</t>
        </is>
      </c>
      <c r="E4620" t="inlineStr">
        <is>
          <t>BENGTSFORS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26858-2025</t>
        </is>
      </c>
      <c r="B4621" s="1" t="n">
        <v>45810.67701388889</v>
      </c>
      <c r="C4621" s="1" t="n">
        <v>46011</v>
      </c>
      <c r="D4621" t="inlineStr">
        <is>
          <t>VÄSTRA GÖTALANDS LÄN</t>
        </is>
      </c>
      <c r="E4621" t="inlineStr">
        <is>
          <t>BENGTSFORS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26860-2025</t>
        </is>
      </c>
      <c r="B4622" s="1" t="n">
        <v>45810.68019675926</v>
      </c>
      <c r="C4622" s="1" t="n">
        <v>46011</v>
      </c>
      <c r="D4622" t="inlineStr">
        <is>
          <t>VÄSTRA GÖTALANDS LÄN</t>
        </is>
      </c>
      <c r="E4622" t="inlineStr">
        <is>
          <t>DALS-ED</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40135-2025</t>
        </is>
      </c>
      <c r="B4623" s="1" t="n">
        <v>45894</v>
      </c>
      <c r="C4623" s="1" t="n">
        <v>46011</v>
      </c>
      <c r="D4623" t="inlineStr">
        <is>
          <t>VÄSTRA GÖTALANDS LÄN</t>
        </is>
      </c>
      <c r="E4623" t="inlineStr">
        <is>
          <t>UDDEVALLA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39753-2025</t>
        </is>
      </c>
      <c r="B4624" s="1" t="n">
        <v>45891.41855324074</v>
      </c>
      <c r="C4624" s="1" t="n">
        <v>46011</v>
      </c>
      <c r="D4624" t="inlineStr">
        <is>
          <t>VÄSTRA GÖTALANDS LÄN</t>
        </is>
      </c>
      <c r="E4624" t="inlineStr">
        <is>
          <t>GULLSPÅNG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5174-2025</t>
        </is>
      </c>
      <c r="B4625" s="1" t="n">
        <v>45691.61997685185</v>
      </c>
      <c r="C4625" s="1" t="n">
        <v>46011</v>
      </c>
      <c r="D4625" t="inlineStr">
        <is>
          <t>VÄSTRA GÖTALANDS LÄN</t>
        </is>
      </c>
      <c r="E4625" t="inlineStr">
        <is>
          <t>ULRICEHAMN</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13581-2022</t>
        </is>
      </c>
      <c r="B4626" s="1" t="n">
        <v>44648.46975694445</v>
      </c>
      <c r="C4626" s="1" t="n">
        <v>46011</v>
      </c>
      <c r="D4626" t="inlineStr">
        <is>
          <t>VÄSTRA GÖTALANDS LÄN</t>
        </is>
      </c>
      <c r="E4626" t="inlineStr">
        <is>
          <t>DALS-ED</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59513-2024</t>
        </is>
      </c>
      <c r="B4627" s="1" t="n">
        <v>45638.55920138889</v>
      </c>
      <c r="C4627" s="1" t="n">
        <v>46011</v>
      </c>
      <c r="D4627" t="inlineStr">
        <is>
          <t>VÄSTRA GÖTALANDS LÄN</t>
        </is>
      </c>
      <c r="E4627" t="inlineStr">
        <is>
          <t>UDDEVALLA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39349-2024</t>
        </is>
      </c>
      <c r="B4628" s="1" t="n">
        <v>45551.45349537037</v>
      </c>
      <c r="C4628" s="1" t="n">
        <v>46011</v>
      </c>
      <c r="D4628" t="inlineStr">
        <is>
          <t>VÄSTRA GÖTALANDS LÄN</t>
        </is>
      </c>
      <c r="E4628" t="inlineStr">
        <is>
          <t>FALKÖPING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40213-2025</t>
        </is>
      </c>
      <c r="B4629" s="1" t="n">
        <v>45894.68621527778</v>
      </c>
      <c r="C4629" s="1" t="n">
        <v>46011</v>
      </c>
      <c r="D4629" t="inlineStr">
        <is>
          <t>VÄSTRA GÖTALANDS LÄN</t>
        </is>
      </c>
      <c r="E4629" t="inlineStr">
        <is>
          <t>FÄRGELANDA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30633-2023</t>
        </is>
      </c>
      <c r="B4630" s="1" t="n">
        <v>45112</v>
      </c>
      <c r="C4630" s="1" t="n">
        <v>46011</v>
      </c>
      <c r="D4630" t="inlineStr">
        <is>
          <t>VÄSTRA GÖTALANDS LÄN</t>
        </is>
      </c>
      <c r="E4630" t="inlineStr">
        <is>
          <t>BOLLEBYGD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49115-2024</t>
        </is>
      </c>
      <c r="B4631" s="1" t="n">
        <v>45594.65954861111</v>
      </c>
      <c r="C4631" s="1" t="n">
        <v>46011</v>
      </c>
      <c r="D4631" t="inlineStr">
        <is>
          <t>VÄSTRA GÖTALANDS LÄN</t>
        </is>
      </c>
      <c r="E4631" t="inlineStr">
        <is>
          <t>ORUST</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49145-2024</t>
        </is>
      </c>
      <c r="B4632" s="1" t="n">
        <v>45594.72869212963</v>
      </c>
      <c r="C4632" s="1" t="n">
        <v>46011</v>
      </c>
      <c r="D4632" t="inlineStr">
        <is>
          <t>VÄSTRA GÖTALANDS LÄN</t>
        </is>
      </c>
      <c r="E4632" t="inlineStr">
        <is>
          <t>UDDEVALLA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23061-2023</t>
        </is>
      </c>
      <c r="B4633" s="1" t="n">
        <v>45075.35929398148</v>
      </c>
      <c r="C4633" s="1" t="n">
        <v>46011</v>
      </c>
      <c r="D4633" t="inlineStr">
        <is>
          <t>VÄSTRA GÖTALANDS LÄN</t>
        </is>
      </c>
      <c r="E4633" t="inlineStr">
        <is>
          <t>TRANEMO</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62233-2022</t>
        </is>
      </c>
      <c r="B4634" s="1" t="n">
        <v>44922</v>
      </c>
      <c r="C4634" s="1" t="n">
        <v>46011</v>
      </c>
      <c r="D4634" t="inlineStr">
        <is>
          <t>VÄSTRA GÖTALANDS LÄN</t>
        </is>
      </c>
      <c r="E4634" t="inlineStr">
        <is>
          <t>HJO</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54006-2022</t>
        </is>
      </c>
      <c r="B4635" s="1" t="n">
        <v>44881.40414351852</v>
      </c>
      <c r="C4635" s="1" t="n">
        <v>46011</v>
      </c>
      <c r="D4635" t="inlineStr">
        <is>
          <t>VÄSTRA GÖTALANDS LÄN</t>
        </is>
      </c>
      <c r="E4635" t="inlineStr">
        <is>
          <t>VÄNERSBORG</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27350-2024</t>
        </is>
      </c>
      <c r="B4636" s="1" t="n">
        <v>45473.6690625</v>
      </c>
      <c r="C4636" s="1" t="n">
        <v>46011</v>
      </c>
      <c r="D4636" t="inlineStr">
        <is>
          <t>VÄSTRA GÖTALANDS LÄN</t>
        </is>
      </c>
      <c r="E4636" t="inlineStr">
        <is>
          <t>FALKÖPING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27353-2024</t>
        </is>
      </c>
      <c r="B4637" s="1" t="n">
        <v>45473.68792824074</v>
      </c>
      <c r="C4637" s="1" t="n">
        <v>46011</v>
      </c>
      <c r="D4637" t="inlineStr">
        <is>
          <t>VÄSTRA GÖTALANDS LÄN</t>
        </is>
      </c>
      <c r="E4637" t="inlineStr">
        <is>
          <t>ULRICEHAMN</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44816-2024</t>
        </is>
      </c>
      <c r="B4638" s="1" t="n">
        <v>45574.6596875</v>
      </c>
      <c r="C4638" s="1" t="n">
        <v>46011</v>
      </c>
      <c r="D4638" t="inlineStr">
        <is>
          <t>VÄSTRA GÖTALANDS LÄN</t>
        </is>
      </c>
      <c r="E4638" t="inlineStr">
        <is>
          <t>BENGTSFORS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58317-2021</t>
        </is>
      </c>
      <c r="B4639" s="1" t="n">
        <v>44488.35737268518</v>
      </c>
      <c r="C4639" s="1" t="n">
        <v>46011</v>
      </c>
      <c r="D4639" t="inlineStr">
        <is>
          <t>VÄSTRA GÖTALANDS LÄN</t>
        </is>
      </c>
      <c r="E4639" t="inlineStr">
        <is>
          <t>FÄRGELANDA</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58335-2021</t>
        </is>
      </c>
      <c r="B4640" s="1" t="n">
        <v>44488</v>
      </c>
      <c r="C4640" s="1" t="n">
        <v>46011</v>
      </c>
      <c r="D4640" t="inlineStr">
        <is>
          <t>VÄSTRA GÖTALANDS LÄN</t>
        </is>
      </c>
      <c r="E4640" t="inlineStr">
        <is>
          <t>TANUM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55378-2024</t>
        </is>
      </c>
      <c r="B4641" s="1" t="n">
        <v>45622.25892361111</v>
      </c>
      <c r="C4641" s="1" t="n">
        <v>46011</v>
      </c>
      <c r="D4641" t="inlineStr">
        <is>
          <t>VÄSTRA GÖTALANDS LÄN</t>
        </is>
      </c>
      <c r="E4641" t="inlineStr">
        <is>
          <t>BORÅS</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49062-2024</t>
        </is>
      </c>
      <c r="B4642" s="1" t="n">
        <v>45594</v>
      </c>
      <c r="C4642" s="1" t="n">
        <v>46011</v>
      </c>
      <c r="D4642" t="inlineStr">
        <is>
          <t>VÄSTRA GÖTALANDS LÄN</t>
        </is>
      </c>
      <c r="E4642" t="inlineStr">
        <is>
          <t>TROLLHÄTTAN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58123-2022</t>
        </is>
      </c>
      <c r="B4643" s="1" t="n">
        <v>44900.66938657407</v>
      </c>
      <c r="C4643" s="1" t="n">
        <v>46011</v>
      </c>
      <c r="D4643" t="inlineStr">
        <is>
          <t>VÄSTRA GÖTALANDS LÄN</t>
        </is>
      </c>
      <c r="E4643" t="inlineStr">
        <is>
          <t>TÖREBODA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43336-2021</t>
        </is>
      </c>
      <c r="B4644" s="1" t="n">
        <v>44432</v>
      </c>
      <c r="C4644" s="1" t="n">
        <v>46011</v>
      </c>
      <c r="D4644" t="inlineStr">
        <is>
          <t>VÄSTRA GÖTALANDS LÄN</t>
        </is>
      </c>
      <c r="E4644" t="inlineStr">
        <is>
          <t>BENGTSFORS</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37168-2024</t>
        </is>
      </c>
      <c r="B4645" s="1" t="n">
        <v>45539</v>
      </c>
      <c r="C4645" s="1" t="n">
        <v>46011</v>
      </c>
      <c r="D4645" t="inlineStr">
        <is>
          <t>VÄSTRA GÖTALANDS LÄN</t>
        </is>
      </c>
      <c r="E4645" t="inlineStr">
        <is>
          <t>TIDAHOLM</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40229-2025</t>
        </is>
      </c>
      <c r="B4646" s="1" t="n">
        <v>45894.70920138889</v>
      </c>
      <c r="C4646" s="1" t="n">
        <v>46011</v>
      </c>
      <c r="D4646" t="inlineStr">
        <is>
          <t>VÄSTRA GÖTALANDS LÄN</t>
        </is>
      </c>
      <c r="E4646" t="inlineStr">
        <is>
          <t>TRANEMO</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36403-2024</t>
        </is>
      </c>
      <c r="B4647" s="1" t="n">
        <v>45535.69445601852</v>
      </c>
      <c r="C4647" s="1" t="n">
        <v>46011</v>
      </c>
      <c r="D4647" t="inlineStr">
        <is>
          <t>VÄSTRA GÖTALANDS LÄN</t>
        </is>
      </c>
      <c r="E4647" t="inlineStr">
        <is>
          <t>ALE</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11362-2022</t>
        </is>
      </c>
      <c r="B4648" s="1" t="n">
        <v>44630</v>
      </c>
      <c r="C4648" s="1" t="n">
        <v>46011</v>
      </c>
      <c r="D4648" t="inlineStr">
        <is>
          <t>VÄSTRA GÖTALANDS LÄN</t>
        </is>
      </c>
      <c r="E4648" t="inlineStr">
        <is>
          <t>BORÅS</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37262-2024</t>
        </is>
      </c>
      <c r="B4649" s="1" t="n">
        <v>45540.38136574074</v>
      </c>
      <c r="C4649" s="1" t="n">
        <v>46011</v>
      </c>
      <c r="D4649" t="inlineStr">
        <is>
          <t>VÄSTRA GÖTALANDS LÄN</t>
        </is>
      </c>
      <c r="E4649" t="inlineStr">
        <is>
          <t>FALKÖPING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37267-2024</t>
        </is>
      </c>
      <c r="B4650" s="1" t="n">
        <v>45540.38583333333</v>
      </c>
      <c r="C4650" s="1" t="n">
        <v>46011</v>
      </c>
      <c r="D4650" t="inlineStr">
        <is>
          <t>VÄSTRA GÖTALANDS LÄN</t>
        </is>
      </c>
      <c r="E4650" t="inlineStr">
        <is>
          <t>MELLERUD</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16603-2025</t>
        </is>
      </c>
      <c r="B4651" s="1" t="n">
        <v>45753.56577546296</v>
      </c>
      <c r="C4651" s="1" t="n">
        <v>46011</v>
      </c>
      <c r="D4651" t="inlineStr">
        <is>
          <t>VÄSTRA GÖTALANDS LÄN</t>
        </is>
      </c>
      <c r="E4651" t="inlineStr">
        <is>
          <t>TANUM</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36984-2024</t>
        </is>
      </c>
      <c r="B4652" s="1" t="n">
        <v>45539.32334490741</v>
      </c>
      <c r="C4652" s="1" t="n">
        <v>46011</v>
      </c>
      <c r="D4652" t="inlineStr">
        <is>
          <t>VÄSTRA GÖTALANDS LÄN</t>
        </is>
      </c>
      <c r="E4652" t="inlineStr">
        <is>
          <t>LILLA EDET</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3733-2024</t>
        </is>
      </c>
      <c r="B4653" s="1" t="n">
        <v>45321</v>
      </c>
      <c r="C4653" s="1" t="n">
        <v>46011</v>
      </c>
      <c r="D4653" t="inlineStr">
        <is>
          <t>VÄSTRA GÖTALANDS LÄN</t>
        </is>
      </c>
      <c r="E4653" t="inlineStr">
        <is>
          <t>BORÅS</t>
        </is>
      </c>
      <c r="F4653" t="inlineStr">
        <is>
          <t>Kommuner</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60556-2024</t>
        </is>
      </c>
      <c r="B4654" s="1" t="n">
        <v>45643.87871527778</v>
      </c>
      <c r="C4654" s="1" t="n">
        <v>46011</v>
      </c>
      <c r="D4654" t="inlineStr">
        <is>
          <t>VÄSTRA GÖTALANDS LÄN</t>
        </is>
      </c>
      <c r="E4654" t="inlineStr">
        <is>
          <t>ULRICEHAMN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39931-2025</t>
        </is>
      </c>
      <c r="B4655" s="1" t="n">
        <v>45891</v>
      </c>
      <c r="C4655" s="1" t="n">
        <v>46011</v>
      </c>
      <c r="D4655" t="inlineStr">
        <is>
          <t>VÄSTRA GÖTALANDS LÄN</t>
        </is>
      </c>
      <c r="E4655" t="inlineStr">
        <is>
          <t>TIDAHOLM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40221-2025</t>
        </is>
      </c>
      <c r="B4656" s="1" t="n">
        <v>45894.69376157408</v>
      </c>
      <c r="C4656" s="1" t="n">
        <v>46011</v>
      </c>
      <c r="D4656" t="inlineStr">
        <is>
          <t>VÄSTRA GÖTALANDS LÄN</t>
        </is>
      </c>
      <c r="E4656" t="inlineStr">
        <is>
          <t>FÄRGELANDA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40222-2025</t>
        </is>
      </c>
      <c r="B4657" s="1" t="n">
        <v>45894.69791666666</v>
      </c>
      <c r="C4657" s="1" t="n">
        <v>46011</v>
      </c>
      <c r="D4657" t="inlineStr">
        <is>
          <t>VÄSTRA GÖTALANDS LÄN</t>
        </is>
      </c>
      <c r="E4657" t="inlineStr">
        <is>
          <t>FÄRGELANDA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30616-2024</t>
        </is>
      </c>
      <c r="B4658" s="1" t="n">
        <v>45495.38644675926</v>
      </c>
      <c r="C4658" s="1" t="n">
        <v>46011</v>
      </c>
      <c r="D4658" t="inlineStr">
        <is>
          <t>VÄSTRA GÖTALANDS LÄN</t>
        </is>
      </c>
      <c r="E4658" t="inlineStr">
        <is>
          <t>ÅMÅL</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38985-2024</t>
        </is>
      </c>
      <c r="B4659" s="1" t="n">
        <v>45548.40048611111</v>
      </c>
      <c r="C4659" s="1" t="n">
        <v>46011</v>
      </c>
      <c r="D4659" t="inlineStr">
        <is>
          <t>VÄSTRA GÖTALANDS LÄN</t>
        </is>
      </c>
      <c r="E4659" t="inlineStr">
        <is>
          <t>HERRLJUNGA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29490-2025</t>
        </is>
      </c>
      <c r="B4660" s="1" t="n">
        <v>45824.76346064815</v>
      </c>
      <c r="C4660" s="1" t="n">
        <v>46011</v>
      </c>
      <c r="D4660" t="inlineStr">
        <is>
          <t>VÄSTRA GÖTALANDS LÄN</t>
        </is>
      </c>
      <c r="E4660" t="inlineStr">
        <is>
          <t>KARLSBORG</t>
        </is>
      </c>
      <c r="F4660" t="inlineStr">
        <is>
          <t>Övriga Aktiebolag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12006-2024</t>
        </is>
      </c>
      <c r="B4661" s="1" t="n">
        <v>45377.31758101852</v>
      </c>
      <c r="C4661" s="1" t="n">
        <v>46011</v>
      </c>
      <c r="D4661" t="inlineStr">
        <is>
          <t>VÄSTRA GÖTALANDS LÄN</t>
        </is>
      </c>
      <c r="E4661" t="inlineStr">
        <is>
          <t>ESSUNGA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12276-2024</t>
        </is>
      </c>
      <c r="B4662" s="1" t="n">
        <v>45378.50021990741</v>
      </c>
      <c r="C4662" s="1" t="n">
        <v>46011</v>
      </c>
      <c r="D4662" t="inlineStr">
        <is>
          <t>VÄSTRA GÖTALANDS LÄN</t>
        </is>
      </c>
      <c r="E4662" t="inlineStr">
        <is>
          <t>ALINGSÅS</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40226-2025</t>
        </is>
      </c>
      <c r="B4663" s="1" t="n">
        <v>45894.70033564815</v>
      </c>
      <c r="C4663" s="1" t="n">
        <v>46011</v>
      </c>
      <c r="D4663" t="inlineStr">
        <is>
          <t>VÄSTRA GÖTALANDS LÄN</t>
        </is>
      </c>
      <c r="E4663" t="inlineStr">
        <is>
          <t>FÄRGELANDA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40227-2025</t>
        </is>
      </c>
      <c r="B4664" s="1" t="n">
        <v>45894</v>
      </c>
      <c r="C4664" s="1" t="n">
        <v>46011</v>
      </c>
      <c r="D4664" t="inlineStr">
        <is>
          <t>VÄSTRA GÖTALANDS LÄN</t>
        </is>
      </c>
      <c r="E4664" t="inlineStr">
        <is>
          <t>ÅMÅL</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29176-2025</t>
        </is>
      </c>
      <c r="B4665" s="1" t="n">
        <v>45821</v>
      </c>
      <c r="C4665" s="1" t="n">
        <v>46011</v>
      </c>
      <c r="D4665" t="inlineStr">
        <is>
          <t>VÄSTRA GÖTALANDS LÄN</t>
        </is>
      </c>
      <c r="E4665" t="inlineStr">
        <is>
          <t>GULLSPÅNG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32131-2024</t>
        </is>
      </c>
      <c r="B4666" s="1" t="n">
        <v>45511.48479166667</v>
      </c>
      <c r="C4666" s="1" t="n">
        <v>46011</v>
      </c>
      <c r="D4666" t="inlineStr">
        <is>
          <t>VÄSTRA GÖTALANDS LÄN</t>
        </is>
      </c>
      <c r="E4666" t="inlineStr">
        <is>
          <t>HERRLJUNGA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3141-2022</t>
        </is>
      </c>
      <c r="B4667" s="1" t="n">
        <v>44582.53597222222</v>
      </c>
      <c r="C4667" s="1" t="n">
        <v>46011</v>
      </c>
      <c r="D4667" t="inlineStr">
        <is>
          <t>VÄSTRA GÖTALANDS LÄN</t>
        </is>
      </c>
      <c r="E4667" t="inlineStr">
        <is>
          <t>ÅMÅL</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36816-2024</t>
        </is>
      </c>
      <c r="B4668" s="1" t="n">
        <v>45538.4906712963</v>
      </c>
      <c r="C4668" s="1" t="n">
        <v>46011</v>
      </c>
      <c r="D4668" t="inlineStr">
        <is>
          <t>VÄSTRA GÖTALANDS LÄN</t>
        </is>
      </c>
      <c r="E4668" t="inlineStr">
        <is>
          <t>LIDKÖPING</t>
        </is>
      </c>
      <c r="F4668" t="inlineStr">
        <is>
          <t>Kommuner</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48255-2024</t>
        </is>
      </c>
      <c r="B4669" s="1" t="n">
        <v>45590.41381944445</v>
      </c>
      <c r="C4669" s="1" t="n">
        <v>46011</v>
      </c>
      <c r="D4669" t="inlineStr">
        <is>
          <t>VÄSTRA GÖTALANDS LÄN</t>
        </is>
      </c>
      <c r="E4669" t="inlineStr">
        <is>
          <t>MARIESTAD</t>
        </is>
      </c>
      <c r="F4669" t="inlineStr">
        <is>
          <t>Kyrkan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33092-2024</t>
        </is>
      </c>
      <c r="B4670" s="1" t="n">
        <v>45517.68732638889</v>
      </c>
      <c r="C4670" s="1" t="n">
        <v>46011</v>
      </c>
      <c r="D4670" t="inlineStr">
        <is>
          <t>VÄSTRA GÖTALANDS LÄN</t>
        </is>
      </c>
      <c r="E4670" t="inlineStr">
        <is>
          <t>UDDEVALLA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48575-2024</t>
        </is>
      </c>
      <c r="B4671" s="1" t="n">
        <v>45593.41140046297</v>
      </c>
      <c r="C4671" s="1" t="n">
        <v>46011</v>
      </c>
      <c r="D4671" t="inlineStr">
        <is>
          <t>VÄSTRA GÖTALANDS LÄN</t>
        </is>
      </c>
      <c r="E4671" t="inlineStr">
        <is>
          <t>SKÖVDE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39980-2025</t>
        </is>
      </c>
      <c r="B4672" s="1" t="n">
        <v>45893.77959490741</v>
      </c>
      <c r="C4672" s="1" t="n">
        <v>46011</v>
      </c>
      <c r="D4672" t="inlineStr">
        <is>
          <t>VÄSTRA GÖTALANDS LÄN</t>
        </is>
      </c>
      <c r="E4672" t="inlineStr">
        <is>
          <t>TIDAHOLM</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33189-2024</t>
        </is>
      </c>
      <c r="B4673" s="1" t="n">
        <v>45518.46695601852</v>
      </c>
      <c r="C4673" s="1" t="n">
        <v>46011</v>
      </c>
      <c r="D4673" t="inlineStr">
        <is>
          <t>VÄSTRA GÖTALANDS LÄN</t>
        </is>
      </c>
      <c r="E4673" t="inlineStr">
        <is>
          <t>MARK</t>
        </is>
      </c>
      <c r="F4673" t="inlineStr">
        <is>
          <t>Kyrkan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39988-2025</t>
        </is>
      </c>
      <c r="B4674" s="1" t="n">
        <v>45893.88939814815</v>
      </c>
      <c r="C4674" s="1" t="n">
        <v>46011</v>
      </c>
      <c r="D4674" t="inlineStr">
        <is>
          <t>VÄSTRA GÖTALANDS LÄN</t>
        </is>
      </c>
      <c r="E4674" t="inlineStr">
        <is>
          <t>TRANEMO</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26597-2025</t>
        </is>
      </c>
      <c r="B4675" s="1" t="n">
        <v>45808</v>
      </c>
      <c r="C4675" s="1" t="n">
        <v>46011</v>
      </c>
      <c r="D4675" t="inlineStr">
        <is>
          <t>VÄSTRA GÖTALANDS LÄN</t>
        </is>
      </c>
      <c r="E4675" t="inlineStr">
        <is>
          <t>FALKÖPING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26598-2025</t>
        </is>
      </c>
      <c r="B4676" s="1" t="n">
        <v>45808.48747685185</v>
      </c>
      <c r="C4676" s="1" t="n">
        <v>46011</v>
      </c>
      <c r="D4676" t="inlineStr">
        <is>
          <t>VÄSTRA GÖTALANDS LÄN</t>
        </is>
      </c>
      <c r="E4676" t="inlineStr">
        <is>
          <t>FALKÖPING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51398-2024</t>
        </is>
      </c>
      <c r="B4677" s="1" t="n">
        <v>45604.4233912037</v>
      </c>
      <c r="C4677" s="1" t="n">
        <v>46011</v>
      </c>
      <c r="D4677" t="inlineStr">
        <is>
          <t>VÄSTRA GÖTALANDS LÄN</t>
        </is>
      </c>
      <c r="E4677" t="inlineStr">
        <is>
          <t>VARA</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10684-2022</t>
        </is>
      </c>
      <c r="B4678" s="1" t="n">
        <v>44624</v>
      </c>
      <c r="C4678" s="1" t="n">
        <v>46011</v>
      </c>
      <c r="D4678" t="inlineStr">
        <is>
          <t>VÄSTRA GÖTALANDS LÄN</t>
        </is>
      </c>
      <c r="E4678" t="inlineStr">
        <is>
          <t>UDDEVALLA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587-2025</t>
        </is>
      </c>
      <c r="B4679" s="1" t="n">
        <v>45664.58135416666</v>
      </c>
      <c r="C4679" s="1" t="n">
        <v>46011</v>
      </c>
      <c r="D4679" t="inlineStr">
        <is>
          <t>VÄSTRA GÖTALANDS LÄN</t>
        </is>
      </c>
      <c r="E4679" t="inlineStr">
        <is>
          <t>LILLA EDET</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63437-2023</t>
        </is>
      </c>
      <c r="B4680" s="1" t="n">
        <v>45274</v>
      </c>
      <c r="C4680" s="1" t="n">
        <v>46011</v>
      </c>
      <c r="D4680" t="inlineStr">
        <is>
          <t>VÄSTRA GÖTALANDS LÄN</t>
        </is>
      </c>
      <c r="E4680" t="inlineStr">
        <is>
          <t>BORÅS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39857-2025</t>
        </is>
      </c>
      <c r="B4681" s="1" t="n">
        <v>45891.59125</v>
      </c>
      <c r="C4681" s="1" t="n">
        <v>46011</v>
      </c>
      <c r="D4681" t="inlineStr">
        <is>
          <t>VÄSTRA GÖTALANDS LÄN</t>
        </is>
      </c>
      <c r="E4681" t="inlineStr">
        <is>
          <t>FALKÖPING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28460-2023</t>
        </is>
      </c>
      <c r="B4682" s="1" t="n">
        <v>45103.36616898148</v>
      </c>
      <c r="C4682" s="1" t="n">
        <v>46011</v>
      </c>
      <c r="D4682" t="inlineStr">
        <is>
          <t>VÄSTRA GÖTALANDS LÄN</t>
        </is>
      </c>
      <c r="E4682" t="inlineStr">
        <is>
          <t>KARLSBORG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23330-2024</t>
        </is>
      </c>
      <c r="B4683" s="1" t="n">
        <v>45453.46866898148</v>
      </c>
      <c r="C4683" s="1" t="n">
        <v>46011</v>
      </c>
      <c r="D4683" t="inlineStr">
        <is>
          <t>VÄSTRA GÖTALANDS LÄN</t>
        </is>
      </c>
      <c r="E4683" t="inlineStr">
        <is>
          <t>BOLLEBYGD</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23334-2024</t>
        </is>
      </c>
      <c r="B4684" s="1" t="n">
        <v>45453</v>
      </c>
      <c r="C4684" s="1" t="n">
        <v>46011</v>
      </c>
      <c r="D4684" t="inlineStr">
        <is>
          <t>VÄSTRA GÖTALANDS LÄN</t>
        </is>
      </c>
      <c r="E4684" t="inlineStr">
        <is>
          <t>BORÅS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61417-2022</t>
        </is>
      </c>
      <c r="B4685" s="1" t="n">
        <v>44916.35082175926</v>
      </c>
      <c r="C4685" s="1" t="n">
        <v>46011</v>
      </c>
      <c r="D4685" t="inlineStr">
        <is>
          <t>VÄSTRA GÖTALANDS LÄN</t>
        </is>
      </c>
      <c r="E4685" t="inlineStr">
        <is>
          <t>KUNGÄLV</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60718-2022</t>
        </is>
      </c>
      <c r="B4686" s="1" t="n">
        <v>44912.89109953704</v>
      </c>
      <c r="C4686" s="1" t="n">
        <v>46011</v>
      </c>
      <c r="D4686" t="inlineStr">
        <is>
          <t>VÄSTRA GÖTALANDS LÄN</t>
        </is>
      </c>
      <c r="E4686" t="inlineStr">
        <is>
          <t>TJÖRN</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48750-2024</t>
        </is>
      </c>
      <c r="B4687" s="1" t="n">
        <v>45593.58693287037</v>
      </c>
      <c r="C4687" s="1" t="n">
        <v>46011</v>
      </c>
      <c r="D4687" t="inlineStr">
        <is>
          <t>VÄSTRA GÖTALANDS LÄN</t>
        </is>
      </c>
      <c r="E4687" t="inlineStr">
        <is>
          <t>TANUM</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15552-2023</t>
        </is>
      </c>
      <c r="B4688" s="1" t="n">
        <v>45018</v>
      </c>
      <c r="C4688" s="1" t="n">
        <v>46011</v>
      </c>
      <c r="D4688" t="inlineStr">
        <is>
          <t>VÄSTRA GÖTALANDS LÄN</t>
        </is>
      </c>
      <c r="E4688" t="inlineStr">
        <is>
          <t>STRÖMSTAD</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44417-2024</t>
        </is>
      </c>
      <c r="B4689" s="1" t="n">
        <v>45573.8249537037</v>
      </c>
      <c r="C4689" s="1" t="n">
        <v>46011</v>
      </c>
      <c r="D4689" t="inlineStr">
        <is>
          <t>VÄSTRA GÖTALANDS LÄN</t>
        </is>
      </c>
      <c r="E4689" t="inlineStr">
        <is>
          <t>ORUST</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40066-2025</t>
        </is>
      </c>
      <c r="B4690" s="1" t="n">
        <v>45894</v>
      </c>
      <c r="C4690" s="1" t="n">
        <v>46011</v>
      </c>
      <c r="D4690" t="inlineStr">
        <is>
          <t>VÄSTRA GÖTALANDS LÄN</t>
        </is>
      </c>
      <c r="E4690" t="inlineStr">
        <is>
          <t>BENGTSFORS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40074-2025</t>
        </is>
      </c>
      <c r="B4691" s="1" t="n">
        <v>45894.44685185186</v>
      </c>
      <c r="C4691" s="1" t="n">
        <v>46011</v>
      </c>
      <c r="D4691" t="inlineStr">
        <is>
          <t>VÄSTRA GÖTALANDS LÄN</t>
        </is>
      </c>
      <c r="E4691" t="inlineStr">
        <is>
          <t>ALE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53032-2024</t>
        </is>
      </c>
      <c r="B4692" s="1" t="n">
        <v>45611.4250462963</v>
      </c>
      <c r="C4692" s="1" t="n">
        <v>46011</v>
      </c>
      <c r="D4692" t="inlineStr">
        <is>
          <t>VÄSTRA GÖTALANDS LÄN</t>
        </is>
      </c>
      <c r="E4692" t="inlineStr">
        <is>
          <t>MARK</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26615-2025</t>
        </is>
      </c>
      <c r="B4693" s="1" t="n">
        <v>45810.30193287037</v>
      </c>
      <c r="C4693" s="1" t="n">
        <v>46011</v>
      </c>
      <c r="D4693" t="inlineStr">
        <is>
          <t>VÄSTRA GÖTALANDS LÄN</t>
        </is>
      </c>
      <c r="E4693" t="inlineStr">
        <is>
          <t>SVENLJUNGA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26620-2025</t>
        </is>
      </c>
      <c r="B4694" s="1" t="n">
        <v>45810.31511574074</v>
      </c>
      <c r="C4694" s="1" t="n">
        <v>46011</v>
      </c>
      <c r="D4694" t="inlineStr">
        <is>
          <t>VÄSTRA GÖTALANDS LÄN</t>
        </is>
      </c>
      <c r="E4694" t="inlineStr">
        <is>
          <t>SKÖVDE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39858-2025</t>
        </is>
      </c>
      <c r="B4695" s="1" t="n">
        <v>45891.59162037037</v>
      </c>
      <c r="C4695" s="1" t="n">
        <v>46011</v>
      </c>
      <c r="D4695" t="inlineStr">
        <is>
          <t>VÄSTRA GÖTALANDS LÄN</t>
        </is>
      </c>
      <c r="E4695" t="inlineStr">
        <is>
          <t>MARK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33611-2023</t>
        </is>
      </c>
      <c r="B4696" s="1" t="n">
        <v>45132.34326388889</v>
      </c>
      <c r="C4696" s="1" t="n">
        <v>46011</v>
      </c>
      <c r="D4696" t="inlineStr">
        <is>
          <t>VÄSTRA GÖTALANDS LÄN</t>
        </is>
      </c>
      <c r="E4696" t="inlineStr">
        <is>
          <t>ULRICEHAMN</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31486-2021</t>
        </is>
      </c>
      <c r="B4697" s="1" t="n">
        <v>44369.43783564815</v>
      </c>
      <c r="C4697" s="1" t="n">
        <v>46011</v>
      </c>
      <c r="D4697" t="inlineStr">
        <is>
          <t>VÄSTRA GÖTALANDS LÄN</t>
        </is>
      </c>
      <c r="E4697" t="inlineStr">
        <is>
          <t>TJÖRN</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2394-2025</t>
        </is>
      </c>
      <c r="B4698" s="1" t="n">
        <v>45674.33615740741</v>
      </c>
      <c r="C4698" s="1" t="n">
        <v>46011</v>
      </c>
      <c r="D4698" t="inlineStr">
        <is>
          <t>VÄSTRA GÖTALANDS LÄN</t>
        </is>
      </c>
      <c r="E4698" t="inlineStr">
        <is>
          <t>MARIESTAD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47026-2024</t>
        </is>
      </c>
      <c r="B4699" s="1" t="n">
        <v>45586.41668981482</v>
      </c>
      <c r="C4699" s="1" t="n">
        <v>46011</v>
      </c>
      <c r="D4699" t="inlineStr">
        <is>
          <t>VÄSTRA GÖTALANDS LÄN</t>
        </is>
      </c>
      <c r="E4699" t="inlineStr">
        <is>
          <t>ÅMÅL</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26778-2025</t>
        </is>
      </c>
      <c r="B4700" s="1" t="n">
        <v>45810.57994212963</v>
      </c>
      <c r="C4700" s="1" t="n">
        <v>46011</v>
      </c>
      <c r="D4700" t="inlineStr">
        <is>
          <t>VÄSTRA GÖTALANDS LÄN</t>
        </is>
      </c>
      <c r="E4700" t="inlineStr">
        <is>
          <t>BENGTSFORS</t>
        </is>
      </c>
      <c r="G4700" t="n">
        <v>9.4</v>
      </c>
      <c r="H4700" t="n">
        <v>0</v>
      </c>
      <c r="I4700" t="n">
        <v>0</v>
      </c>
      <c r="J4700" t="n">
        <v>0</v>
      </c>
      <c r="K4700" t="n">
        <v>0</v>
      </c>
      <c r="L4700" t="n">
        <v>0</v>
      </c>
      <c r="M4700" t="n">
        <v>0</v>
      </c>
      <c r="N4700" t="n">
        <v>0</v>
      </c>
      <c r="O4700" t="n">
        <v>0</v>
      </c>
      <c r="P4700" t="n">
        <v>0</v>
      </c>
      <c r="Q4700" t="n">
        <v>0</v>
      </c>
      <c r="R4700" s="2" t="inlineStr"/>
    </row>
    <row r="4701" ht="15" customHeight="1">
      <c r="A4701" t="inlineStr">
        <is>
          <t>A 64846-2023</t>
        </is>
      </c>
      <c r="B4701" s="1" t="n">
        <v>45282</v>
      </c>
      <c r="C4701" s="1" t="n">
        <v>46011</v>
      </c>
      <c r="D4701" t="inlineStr">
        <is>
          <t>VÄSTRA GÖTALANDS LÄN</t>
        </is>
      </c>
      <c r="E4701" t="inlineStr">
        <is>
          <t>ESSUNGA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26815-2025</t>
        </is>
      </c>
      <c r="B4702" s="1" t="n">
        <v>45810.63402777778</v>
      </c>
      <c r="C4702" s="1" t="n">
        <v>46011</v>
      </c>
      <c r="D4702" t="inlineStr">
        <is>
          <t>VÄSTRA GÖTALANDS LÄN</t>
        </is>
      </c>
      <c r="E4702" t="inlineStr">
        <is>
          <t>MARIESTAD</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26786-2025</t>
        </is>
      </c>
      <c r="B4703" s="1" t="n">
        <v>45810.58515046296</v>
      </c>
      <c r="C4703" s="1" t="n">
        <v>46011</v>
      </c>
      <c r="D4703" t="inlineStr">
        <is>
          <t>VÄSTRA GÖTALANDS LÄN</t>
        </is>
      </c>
      <c r="E4703" t="inlineStr">
        <is>
          <t>VARA</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44956-2024</t>
        </is>
      </c>
      <c r="B4704" s="1" t="n">
        <v>45575.45246527778</v>
      </c>
      <c r="C4704" s="1" t="n">
        <v>46011</v>
      </c>
      <c r="D4704" t="inlineStr">
        <is>
          <t>VÄSTRA GÖTALANDS LÄN</t>
        </is>
      </c>
      <c r="E4704" t="inlineStr">
        <is>
          <t>BORÅS</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51480-2024</t>
        </is>
      </c>
      <c r="B4705" s="1" t="n">
        <v>45603</v>
      </c>
      <c r="C4705" s="1" t="n">
        <v>46011</v>
      </c>
      <c r="D4705" t="inlineStr">
        <is>
          <t>VÄSTRA GÖTALANDS LÄN</t>
        </is>
      </c>
      <c r="E4705" t="inlineStr">
        <is>
          <t>VÄNERSBORG</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4736-2024</t>
        </is>
      </c>
      <c r="B4706" s="1" t="n">
        <v>45328</v>
      </c>
      <c r="C4706" s="1" t="n">
        <v>46011</v>
      </c>
      <c r="D4706" t="inlineStr">
        <is>
          <t>VÄSTRA GÖTALANDS LÄN</t>
        </is>
      </c>
      <c r="E4706" t="inlineStr">
        <is>
          <t>VÄNERSBORG</t>
        </is>
      </c>
      <c r="F4706" t="inlineStr">
        <is>
          <t>Kommuner</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39724-2025</t>
        </is>
      </c>
      <c r="B4707" s="1" t="n">
        <v>45891.33506944445</v>
      </c>
      <c r="C4707" s="1" t="n">
        <v>46011</v>
      </c>
      <c r="D4707" t="inlineStr">
        <is>
          <t>VÄSTRA GÖTALANDS LÄN</t>
        </is>
      </c>
      <c r="E4707" t="inlineStr">
        <is>
          <t>HERRLJUNGA</t>
        </is>
      </c>
      <c r="F4707" t="inlineStr">
        <is>
          <t>Sveaskog</t>
        </is>
      </c>
      <c r="G4707" t="n">
        <v>10.3</v>
      </c>
      <c r="H4707" t="n">
        <v>0</v>
      </c>
      <c r="I4707" t="n">
        <v>0</v>
      </c>
      <c r="J4707" t="n">
        <v>0</v>
      </c>
      <c r="K4707" t="n">
        <v>0</v>
      </c>
      <c r="L4707" t="n">
        <v>0</v>
      </c>
      <c r="M4707" t="n">
        <v>0</v>
      </c>
      <c r="N4707" t="n">
        <v>0</v>
      </c>
      <c r="O4707" t="n">
        <v>0</v>
      </c>
      <c r="P4707" t="n">
        <v>0</v>
      </c>
      <c r="Q4707" t="n">
        <v>0</v>
      </c>
      <c r="R4707" s="2" t="inlineStr"/>
    </row>
    <row r="4708" ht="15" customHeight="1">
      <c r="A4708" t="inlineStr">
        <is>
          <t>A 48175-2024</t>
        </is>
      </c>
      <c r="B4708" s="1" t="n">
        <v>45589.8465162037</v>
      </c>
      <c r="C4708" s="1" t="n">
        <v>46011</v>
      </c>
      <c r="D4708" t="inlineStr">
        <is>
          <t>VÄSTRA GÖTALANDS LÄN</t>
        </is>
      </c>
      <c r="E4708" t="inlineStr">
        <is>
          <t>KARLSBORG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8557-2025</t>
        </is>
      </c>
      <c r="B4709" s="1" t="n">
        <v>45709</v>
      </c>
      <c r="C4709" s="1" t="n">
        <v>46011</v>
      </c>
      <c r="D4709" t="inlineStr">
        <is>
          <t>VÄSTRA GÖTALANDS LÄN</t>
        </is>
      </c>
      <c r="E4709" t="inlineStr">
        <is>
          <t>SKÖVDE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39835-2025</t>
        </is>
      </c>
      <c r="B4710" s="1" t="n">
        <v>45891</v>
      </c>
      <c r="C4710" s="1" t="n">
        <v>46011</v>
      </c>
      <c r="D4710" t="inlineStr">
        <is>
          <t>VÄSTRA GÖTALANDS LÄN</t>
        </is>
      </c>
      <c r="E4710" t="inlineStr">
        <is>
          <t>FALKÖPING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10900-2025</t>
        </is>
      </c>
      <c r="B4711" s="1" t="n">
        <v>45722.69118055556</v>
      </c>
      <c r="C4711" s="1" t="n">
        <v>46011</v>
      </c>
      <c r="D4711" t="inlineStr">
        <is>
          <t>VÄSTRA GÖTALANDS LÄN</t>
        </is>
      </c>
      <c r="E4711" t="inlineStr">
        <is>
          <t>UDDEVALLA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23895-2024</t>
        </is>
      </c>
      <c r="B4712" s="1" t="n">
        <v>45455.67287037037</v>
      </c>
      <c r="C4712" s="1" t="n">
        <v>46011</v>
      </c>
      <c r="D4712" t="inlineStr">
        <is>
          <t>VÄSTRA GÖTALANDS LÄN</t>
        </is>
      </c>
      <c r="E4712" t="inlineStr">
        <is>
          <t>UDDEVALLA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60264-2024</t>
        </is>
      </c>
      <c r="B4713" s="1" t="n">
        <v>45642.8599537037</v>
      </c>
      <c r="C4713" s="1" t="n">
        <v>46011</v>
      </c>
      <c r="D4713" t="inlineStr">
        <is>
          <t>VÄSTRA GÖTALANDS LÄN</t>
        </is>
      </c>
      <c r="E4713" t="inlineStr">
        <is>
          <t>TIBRO</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39995-2025</t>
        </is>
      </c>
      <c r="B4714" s="1" t="n">
        <v>45894.31888888889</v>
      </c>
      <c r="C4714" s="1" t="n">
        <v>46011</v>
      </c>
      <c r="D4714" t="inlineStr">
        <is>
          <t>VÄSTRA GÖTALANDS LÄN</t>
        </is>
      </c>
      <c r="E4714" t="inlineStr">
        <is>
          <t>GÖTENE</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39996-2025</t>
        </is>
      </c>
      <c r="B4715" s="1" t="n">
        <v>45891</v>
      </c>
      <c r="C4715" s="1" t="n">
        <v>46011</v>
      </c>
      <c r="D4715" t="inlineStr">
        <is>
          <t>VÄSTRA GÖTALANDS LÄN</t>
        </is>
      </c>
      <c r="E4715" t="inlineStr">
        <is>
          <t>BENGTSFORS</t>
        </is>
      </c>
      <c r="F4715" t="inlineStr">
        <is>
          <t>Övriga Aktiebolag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40043-2025</t>
        </is>
      </c>
      <c r="B4716" s="1" t="n">
        <v>45893</v>
      </c>
      <c r="C4716" s="1" t="n">
        <v>46011</v>
      </c>
      <c r="D4716" t="inlineStr">
        <is>
          <t>VÄSTRA GÖTALANDS LÄN</t>
        </is>
      </c>
      <c r="E4716" t="inlineStr">
        <is>
          <t>ÅMÅL</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40084-2025</t>
        </is>
      </c>
      <c r="B4717" s="1" t="n">
        <v>45894.47168981482</v>
      </c>
      <c r="C4717" s="1" t="n">
        <v>46011</v>
      </c>
      <c r="D4717" t="inlineStr">
        <is>
          <t>VÄSTRA GÖTALANDS LÄN</t>
        </is>
      </c>
      <c r="E4717" t="inlineStr">
        <is>
          <t>HERRLJUNGA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11217-2025</t>
        </is>
      </c>
      <c r="B4718" s="1" t="n">
        <v>45726.33739583333</v>
      </c>
      <c r="C4718" s="1" t="n">
        <v>46011</v>
      </c>
      <c r="D4718" t="inlineStr">
        <is>
          <t>VÄSTRA GÖTALANDS LÄN</t>
        </is>
      </c>
      <c r="E4718" t="inlineStr">
        <is>
          <t>SVENLJUNGA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23019-2025</t>
        </is>
      </c>
      <c r="B4719" s="1" t="n">
        <v>45790</v>
      </c>
      <c r="C4719" s="1" t="n">
        <v>46011</v>
      </c>
      <c r="D4719" t="inlineStr">
        <is>
          <t>VÄSTRA GÖTALANDS LÄN</t>
        </is>
      </c>
      <c r="E4719" t="inlineStr">
        <is>
          <t>GULLSPÅNG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26515-2025</t>
        </is>
      </c>
      <c r="B4720" s="1" t="n">
        <v>45807.55388888889</v>
      </c>
      <c r="C4720" s="1" t="n">
        <v>46011</v>
      </c>
      <c r="D4720" t="inlineStr">
        <is>
          <t>VÄSTRA GÖTALANDS LÄN</t>
        </is>
      </c>
      <c r="E4720" t="inlineStr">
        <is>
          <t>MARK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58420-2023</t>
        </is>
      </c>
      <c r="B4721" s="1" t="n">
        <v>45250</v>
      </c>
      <c r="C4721" s="1" t="n">
        <v>46011</v>
      </c>
      <c r="D4721" t="inlineStr">
        <is>
          <t>VÄSTRA GÖTALANDS LÄN</t>
        </is>
      </c>
      <c r="E4721" t="inlineStr">
        <is>
          <t>LIDKÖPING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43780-2024</t>
        </is>
      </c>
      <c r="B4722" s="1" t="n">
        <v>45570.45927083334</v>
      </c>
      <c r="C4722" s="1" t="n">
        <v>46011</v>
      </c>
      <c r="D4722" t="inlineStr">
        <is>
          <t>VÄSTRA GÖTALANDS LÄN</t>
        </is>
      </c>
      <c r="E4722" t="inlineStr">
        <is>
          <t>TANUM</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56867-2024</t>
        </is>
      </c>
      <c r="B4723" s="1" t="n">
        <v>45625</v>
      </c>
      <c r="C4723" s="1" t="n">
        <v>46011</v>
      </c>
      <c r="D4723" t="inlineStr">
        <is>
          <t>VÄSTRA GÖTALANDS LÄN</t>
        </is>
      </c>
      <c r="E4723" t="inlineStr">
        <is>
          <t>MUNKEDAL</t>
        </is>
      </c>
      <c r="F4723" t="inlineStr">
        <is>
          <t>Kyrkan</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30406-2024</t>
        </is>
      </c>
      <c r="B4724" s="1" t="n">
        <v>45491.59671296296</v>
      </c>
      <c r="C4724" s="1" t="n">
        <v>46011</v>
      </c>
      <c r="D4724" t="inlineStr">
        <is>
          <t>VÄSTRA GÖTALANDS LÄN</t>
        </is>
      </c>
      <c r="E4724" t="inlineStr">
        <is>
          <t>FÄRGELANDA</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34159-2023</t>
        </is>
      </c>
      <c r="B4725" s="1" t="n">
        <v>45137</v>
      </c>
      <c r="C4725" s="1" t="n">
        <v>46011</v>
      </c>
      <c r="D4725" t="inlineStr">
        <is>
          <t>VÄSTRA GÖTALANDS LÄN</t>
        </is>
      </c>
      <c r="E4725" t="inlineStr">
        <is>
          <t>MARK</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44754-2024</t>
        </is>
      </c>
      <c r="B4726" s="1" t="n">
        <v>45574.61065972222</v>
      </c>
      <c r="C4726" s="1" t="n">
        <v>46011</v>
      </c>
      <c r="D4726" t="inlineStr">
        <is>
          <t>VÄSTRA GÖTALANDS LÄN</t>
        </is>
      </c>
      <c r="E4726" t="inlineStr">
        <is>
          <t>ORUST</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7978-2025</t>
        </is>
      </c>
      <c r="B4727" s="1" t="n">
        <v>45707.46611111111</v>
      </c>
      <c r="C4727" s="1" t="n">
        <v>46011</v>
      </c>
      <c r="D4727" t="inlineStr">
        <is>
          <t>VÄSTRA GÖTALANDS LÄN</t>
        </is>
      </c>
      <c r="E4727" t="inlineStr">
        <is>
          <t>KARLSBORG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8089-2025</t>
        </is>
      </c>
      <c r="B4728" s="1" t="n">
        <v>45707.67461805556</v>
      </c>
      <c r="C4728" s="1" t="n">
        <v>46011</v>
      </c>
      <c r="D4728" t="inlineStr">
        <is>
          <t>VÄSTRA GÖTALANDS LÄN</t>
        </is>
      </c>
      <c r="E4728" t="inlineStr">
        <is>
          <t>ÅMÅL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8234-2025</t>
        </is>
      </c>
      <c r="B4729" s="1" t="n">
        <v>45708.47453703704</v>
      </c>
      <c r="C4729" s="1" t="n">
        <v>46011</v>
      </c>
      <c r="D4729" t="inlineStr">
        <is>
          <t>VÄSTRA GÖTALANDS LÄN</t>
        </is>
      </c>
      <c r="E4729" t="inlineStr">
        <is>
          <t>ALINGSÅS</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39929-2025</t>
        </is>
      </c>
      <c r="B4730" s="1" t="n">
        <v>45891.69728009259</v>
      </c>
      <c r="C4730" s="1" t="n">
        <v>46011</v>
      </c>
      <c r="D4730" t="inlineStr">
        <is>
          <t>VÄSTRA GÖTALANDS LÄN</t>
        </is>
      </c>
      <c r="E4730" t="inlineStr">
        <is>
          <t>VÅRGÅRDA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36622-2023</t>
        </is>
      </c>
      <c r="B4731" s="1" t="n">
        <v>45153.50684027778</v>
      </c>
      <c r="C4731" s="1" t="n">
        <v>46011</v>
      </c>
      <c r="D4731" t="inlineStr">
        <is>
          <t>VÄSTRA GÖTALANDS LÄN</t>
        </is>
      </c>
      <c r="E4731" t="inlineStr">
        <is>
          <t>LIDKÖPING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39998-2025</t>
        </is>
      </c>
      <c r="B4732" s="1" t="n">
        <v>45894.32873842592</v>
      </c>
      <c r="C4732" s="1" t="n">
        <v>46011</v>
      </c>
      <c r="D4732" t="inlineStr">
        <is>
          <t>VÄSTRA GÖTALANDS LÄN</t>
        </is>
      </c>
      <c r="E4732" t="inlineStr">
        <is>
          <t>GÖTENE</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48403-2024</t>
        </is>
      </c>
      <c r="B4733" s="1" t="n">
        <v>45590.61787037037</v>
      </c>
      <c r="C4733" s="1" t="n">
        <v>46011</v>
      </c>
      <c r="D4733" t="inlineStr">
        <is>
          <t>VÄSTRA GÖTALANDS LÄN</t>
        </is>
      </c>
      <c r="E4733" t="inlineStr">
        <is>
          <t>LYSEKIL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9086-2025</t>
        </is>
      </c>
      <c r="B4734" s="1" t="n">
        <v>45713.67104166667</v>
      </c>
      <c r="C4734" s="1" t="n">
        <v>46011</v>
      </c>
      <c r="D4734" t="inlineStr">
        <is>
          <t>VÄSTRA GÖTALANDS LÄN</t>
        </is>
      </c>
      <c r="E4734" t="inlineStr">
        <is>
          <t>BOLLEBYGD</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12080-2023</t>
        </is>
      </c>
      <c r="B4735" s="1" t="n">
        <v>44997</v>
      </c>
      <c r="C4735" s="1" t="n">
        <v>46011</v>
      </c>
      <c r="D4735" t="inlineStr">
        <is>
          <t>VÄSTRA GÖTALANDS LÄN</t>
        </is>
      </c>
      <c r="E4735" t="inlineStr">
        <is>
          <t>TIDAHOLM</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59615-2022</t>
        </is>
      </c>
      <c r="B4736" s="1" t="n">
        <v>44907</v>
      </c>
      <c r="C4736" s="1" t="n">
        <v>46011</v>
      </c>
      <c r="D4736" t="inlineStr">
        <is>
          <t>VÄSTRA GÖTALANDS LÄN</t>
        </is>
      </c>
      <c r="E4736" t="inlineStr">
        <is>
          <t>BENGTSFORS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33693-2021</t>
        </is>
      </c>
      <c r="B4737" s="1" t="n">
        <v>44378.4540162037</v>
      </c>
      <c r="C4737" s="1" t="n">
        <v>46011</v>
      </c>
      <c r="D4737" t="inlineStr">
        <is>
          <t>VÄSTRA GÖTALANDS LÄN</t>
        </is>
      </c>
      <c r="E4737" t="inlineStr">
        <is>
          <t>VARA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39785-2025</t>
        </is>
      </c>
      <c r="B4738" s="1" t="n">
        <v>45891.48011574074</v>
      </c>
      <c r="C4738" s="1" t="n">
        <v>46011</v>
      </c>
      <c r="D4738" t="inlineStr">
        <is>
          <t>VÄSTRA GÖTALANDS LÄN</t>
        </is>
      </c>
      <c r="E4738" t="inlineStr">
        <is>
          <t>TRANEMO</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39885-2025</t>
        </is>
      </c>
      <c r="B4739" s="1" t="n">
        <v>45891</v>
      </c>
      <c r="C4739" s="1" t="n">
        <v>46011</v>
      </c>
      <c r="D4739" t="inlineStr">
        <is>
          <t>VÄSTRA GÖTALANDS LÄN</t>
        </is>
      </c>
      <c r="E4739" t="inlineStr">
        <is>
          <t>TANUM</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4846-2024</t>
        </is>
      </c>
      <c r="B4740" s="1" t="n">
        <v>45329.36071759259</v>
      </c>
      <c r="C4740" s="1" t="n">
        <v>46011</v>
      </c>
      <c r="D4740" t="inlineStr">
        <is>
          <t>VÄSTRA GÖTALANDS LÄN</t>
        </is>
      </c>
      <c r="E4740" t="inlineStr">
        <is>
          <t>ALINGSÅS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4862-2024</t>
        </is>
      </c>
      <c r="B4741" s="1" t="n">
        <v>45329</v>
      </c>
      <c r="C4741" s="1" t="n">
        <v>46011</v>
      </c>
      <c r="D4741" t="inlineStr">
        <is>
          <t>VÄSTRA GÖTALANDS LÄN</t>
        </is>
      </c>
      <c r="E4741" t="inlineStr">
        <is>
          <t>ÅMÅL</t>
        </is>
      </c>
      <c r="F4741" t="inlineStr">
        <is>
          <t>Bergvik skog väst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39993-2025</t>
        </is>
      </c>
      <c r="B4742" s="1" t="n">
        <v>45894.31541666666</v>
      </c>
      <c r="C4742" s="1" t="n">
        <v>46011</v>
      </c>
      <c r="D4742" t="inlineStr">
        <is>
          <t>VÄSTRA GÖTALANDS LÄN</t>
        </is>
      </c>
      <c r="E4742" t="inlineStr">
        <is>
          <t>SKÖVDE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40003-2025</t>
        </is>
      </c>
      <c r="B4743" s="1" t="n">
        <v>45891</v>
      </c>
      <c r="C4743" s="1" t="n">
        <v>46011</v>
      </c>
      <c r="D4743" t="inlineStr">
        <is>
          <t>VÄSTRA GÖTALANDS LÄN</t>
        </is>
      </c>
      <c r="E4743" t="inlineStr">
        <is>
          <t>MUNKEDAL</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16713-2025</t>
        </is>
      </c>
      <c r="B4744" s="1" t="n">
        <v>45754.48366898148</v>
      </c>
      <c r="C4744" s="1" t="n">
        <v>46011</v>
      </c>
      <c r="D4744" t="inlineStr">
        <is>
          <t>VÄSTRA GÖTALANDS LÄN</t>
        </is>
      </c>
      <c r="E4744" t="inlineStr">
        <is>
          <t>MARIESTAD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40004-2025</t>
        </is>
      </c>
      <c r="B4745" s="1" t="n">
        <v>45891</v>
      </c>
      <c r="C4745" s="1" t="n">
        <v>46011</v>
      </c>
      <c r="D4745" t="inlineStr">
        <is>
          <t>VÄSTRA GÖTALANDS LÄN</t>
        </is>
      </c>
      <c r="E4745" t="inlineStr">
        <is>
          <t>MUNKEDAL</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40129-2025</t>
        </is>
      </c>
      <c r="B4746" s="1" t="n">
        <v>45894.54315972222</v>
      </c>
      <c r="C4746" s="1" t="n">
        <v>46011</v>
      </c>
      <c r="D4746" t="inlineStr">
        <is>
          <t>VÄSTRA GÖTALANDS LÄN</t>
        </is>
      </c>
      <c r="E4746" t="inlineStr">
        <is>
          <t>MUNKEDAL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40154-2025</t>
        </is>
      </c>
      <c r="B4747" s="1" t="n">
        <v>45894.5980787037</v>
      </c>
      <c r="C4747" s="1" t="n">
        <v>46011</v>
      </c>
      <c r="D4747" t="inlineStr">
        <is>
          <t>VÄSTRA GÖTALANDS LÄN</t>
        </is>
      </c>
      <c r="E4747" t="inlineStr">
        <is>
          <t>LYSEKIL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27856-2024</t>
        </is>
      </c>
      <c r="B4748" s="1" t="n">
        <v>45475</v>
      </c>
      <c r="C4748" s="1" t="n">
        <v>46011</v>
      </c>
      <c r="D4748" t="inlineStr">
        <is>
          <t>VÄSTRA GÖTALANDS LÄN</t>
        </is>
      </c>
      <c r="E4748" t="inlineStr">
        <is>
          <t>VARA</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26614-2025</t>
        </is>
      </c>
      <c r="B4749" s="1" t="n">
        <v>45810.30189814815</v>
      </c>
      <c r="C4749" s="1" t="n">
        <v>46011</v>
      </c>
      <c r="D4749" t="inlineStr">
        <is>
          <t>VÄSTRA GÖTALANDS LÄN</t>
        </is>
      </c>
      <c r="E4749" t="inlineStr">
        <is>
          <t>SKÖVDE</t>
        </is>
      </c>
      <c r="G4749" t="n">
        <v>12.3</v>
      </c>
      <c r="H4749" t="n">
        <v>0</v>
      </c>
      <c r="I4749" t="n">
        <v>0</v>
      </c>
      <c r="J4749" t="n">
        <v>0</v>
      </c>
      <c r="K4749" t="n">
        <v>0</v>
      </c>
      <c r="L4749" t="n">
        <v>0</v>
      </c>
      <c r="M4749" t="n">
        <v>0</v>
      </c>
      <c r="N4749" t="n">
        <v>0</v>
      </c>
      <c r="O4749" t="n">
        <v>0</v>
      </c>
      <c r="P4749" t="n">
        <v>0</v>
      </c>
      <c r="Q4749" t="n">
        <v>0</v>
      </c>
      <c r="R4749" s="2" t="inlineStr"/>
    </row>
    <row r="4750" ht="15" customHeight="1">
      <c r="A4750" t="inlineStr">
        <is>
          <t>A 26616-2025</t>
        </is>
      </c>
      <c r="B4750" s="1" t="n">
        <v>45810.30738425926</v>
      </c>
      <c r="C4750" s="1" t="n">
        <v>46011</v>
      </c>
      <c r="D4750" t="inlineStr">
        <is>
          <t>VÄSTRA GÖTALANDS LÄN</t>
        </is>
      </c>
      <c r="E4750" t="inlineStr">
        <is>
          <t>SVENLJUNGA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4224-2024</t>
        </is>
      </c>
      <c r="B4751" s="1" t="n">
        <v>45324</v>
      </c>
      <c r="C4751" s="1" t="n">
        <v>46011</v>
      </c>
      <c r="D4751" t="inlineStr">
        <is>
          <t>VÄSTRA GÖTALANDS LÄN</t>
        </is>
      </c>
      <c r="E4751" t="inlineStr">
        <is>
          <t>TANUM</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24332-2025</t>
        </is>
      </c>
      <c r="B4752" s="1" t="n">
        <v>45797</v>
      </c>
      <c r="C4752" s="1" t="n">
        <v>46011</v>
      </c>
      <c r="D4752" t="inlineStr">
        <is>
          <t>VÄSTRA GÖTALANDS LÄN</t>
        </is>
      </c>
      <c r="E4752" t="inlineStr">
        <is>
          <t>BENGTSFORS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48342-2022</t>
        </is>
      </c>
      <c r="B4753" s="1" t="n">
        <v>44858.56605324074</v>
      </c>
      <c r="C4753" s="1" t="n">
        <v>46011</v>
      </c>
      <c r="D4753" t="inlineStr">
        <is>
          <t>VÄSTRA GÖTALANDS LÄN</t>
        </is>
      </c>
      <c r="E4753" t="inlineStr">
        <is>
          <t>BORÅS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40647-2024</t>
        </is>
      </c>
      <c r="B4754" s="1" t="n">
        <v>45557</v>
      </c>
      <c r="C4754" s="1" t="n">
        <v>46011</v>
      </c>
      <c r="D4754" t="inlineStr">
        <is>
          <t>VÄSTRA GÖTALANDS LÄN</t>
        </is>
      </c>
      <c r="E4754" t="inlineStr">
        <is>
          <t>MUNKEDAL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8165-2023</t>
        </is>
      </c>
      <c r="B4755" s="1" t="n">
        <v>44974</v>
      </c>
      <c r="C4755" s="1" t="n">
        <v>46011</v>
      </c>
      <c r="D4755" t="inlineStr">
        <is>
          <t>VÄSTRA GÖTALANDS LÄN</t>
        </is>
      </c>
      <c r="E4755" t="inlineStr">
        <is>
          <t>MELLERUD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8326-2023</t>
        </is>
      </c>
      <c r="B4756" s="1" t="n">
        <v>44974</v>
      </c>
      <c r="C4756" s="1" t="n">
        <v>46011</v>
      </c>
      <c r="D4756" t="inlineStr">
        <is>
          <t>VÄSTRA GÖTALANDS LÄN</t>
        </is>
      </c>
      <c r="E4756" t="inlineStr">
        <is>
          <t>FALKÖPING</t>
        </is>
      </c>
      <c r="G4756" t="n">
        <v>19.4</v>
      </c>
      <c r="H4756" t="n">
        <v>0</v>
      </c>
      <c r="I4756" t="n">
        <v>0</v>
      </c>
      <c r="J4756" t="n">
        <v>0</v>
      </c>
      <c r="K4756" t="n">
        <v>0</v>
      </c>
      <c r="L4756" t="n">
        <v>0</v>
      </c>
      <c r="M4756" t="n">
        <v>0</v>
      </c>
      <c r="N4756" t="n">
        <v>0</v>
      </c>
      <c r="O4756" t="n">
        <v>0</v>
      </c>
      <c r="P4756" t="n">
        <v>0</v>
      </c>
      <c r="Q4756" t="n">
        <v>0</v>
      </c>
      <c r="R4756" s="2" t="inlineStr"/>
    </row>
    <row r="4757" ht="15" customHeight="1">
      <c r="A4757" t="inlineStr">
        <is>
          <t>A 4207-2024</t>
        </is>
      </c>
      <c r="B4757" s="1" t="n">
        <v>45324.37259259259</v>
      </c>
      <c r="C4757" s="1" t="n">
        <v>46011</v>
      </c>
      <c r="D4757" t="inlineStr">
        <is>
          <t>VÄSTRA GÖTALANDS LÄN</t>
        </is>
      </c>
      <c r="E4757" t="inlineStr">
        <is>
          <t>FÄRGELANDA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37136-2024</t>
        </is>
      </c>
      <c r="B4758" s="1" t="n">
        <v>45539.580625</v>
      </c>
      <c r="C4758" s="1" t="n">
        <v>46011</v>
      </c>
      <c r="D4758" t="inlineStr">
        <is>
          <t>VÄSTRA GÖTALANDS LÄN</t>
        </is>
      </c>
      <c r="E4758" t="inlineStr">
        <is>
          <t>FÄRGELANDA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39843-2025</t>
        </is>
      </c>
      <c r="B4759" s="1" t="n">
        <v>45891</v>
      </c>
      <c r="C4759" s="1" t="n">
        <v>46011</v>
      </c>
      <c r="D4759" t="inlineStr">
        <is>
          <t>VÄSTRA GÖTALANDS LÄN</t>
        </is>
      </c>
      <c r="E4759" t="inlineStr">
        <is>
          <t>VÅRGÅRDA</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32272-2023</t>
        </is>
      </c>
      <c r="B4760" s="1" t="n">
        <v>45120.35368055556</v>
      </c>
      <c r="C4760" s="1" t="n">
        <v>46011</v>
      </c>
      <c r="D4760" t="inlineStr">
        <is>
          <t>VÄSTRA GÖTALANDS LÄN</t>
        </is>
      </c>
      <c r="E4760" t="inlineStr">
        <is>
          <t>KUNGÄLV</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26992-2025</t>
        </is>
      </c>
      <c r="B4761" s="1" t="n">
        <v>45811.52253472222</v>
      </c>
      <c r="C4761" s="1" t="n">
        <v>46011</v>
      </c>
      <c r="D4761" t="inlineStr">
        <is>
          <t>VÄSTRA GÖTALANDS LÄN</t>
        </is>
      </c>
      <c r="E4761" t="inlineStr">
        <is>
          <t>HÄRRYDA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40391-2025</t>
        </is>
      </c>
      <c r="B4762" s="1" t="n">
        <v>45895</v>
      </c>
      <c r="C4762" s="1" t="n">
        <v>46011</v>
      </c>
      <c r="D4762" t="inlineStr">
        <is>
          <t>VÄSTRA GÖTALANDS LÄN</t>
        </is>
      </c>
      <c r="E4762" t="inlineStr">
        <is>
          <t>TANUM</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27031-2025</t>
        </is>
      </c>
      <c r="B4763" s="1" t="n">
        <v>45811.5890625</v>
      </c>
      <c r="C4763" s="1" t="n">
        <v>46011</v>
      </c>
      <c r="D4763" t="inlineStr">
        <is>
          <t>VÄSTRA GÖTALANDS LÄN</t>
        </is>
      </c>
      <c r="E4763" t="inlineStr">
        <is>
          <t>VÄNERSBORG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10524-2024</t>
        </is>
      </c>
      <c r="B4764" s="1" t="n">
        <v>45366.53228009259</v>
      </c>
      <c r="C4764" s="1" t="n">
        <v>46011</v>
      </c>
      <c r="D4764" t="inlineStr">
        <is>
          <t>VÄSTRA GÖTALANDS LÄN</t>
        </is>
      </c>
      <c r="E4764" t="inlineStr">
        <is>
          <t>LIDKÖPING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40242-2025</t>
        </is>
      </c>
      <c r="B4765" s="1" t="n">
        <v>45894.87516203704</v>
      </c>
      <c r="C4765" s="1" t="n">
        <v>46011</v>
      </c>
      <c r="D4765" t="inlineStr">
        <is>
          <t>VÄSTRA GÖTALANDS LÄN</t>
        </is>
      </c>
      <c r="E4765" t="inlineStr">
        <is>
          <t>ALINGSÅS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40553-2025</t>
        </is>
      </c>
      <c r="B4766" s="1" t="n">
        <v>45896.44429398148</v>
      </c>
      <c r="C4766" s="1" t="n">
        <v>46011</v>
      </c>
      <c r="D4766" t="inlineStr">
        <is>
          <t>VÄSTRA GÖTALANDS LÄN</t>
        </is>
      </c>
      <c r="E4766" t="inlineStr">
        <is>
          <t>VÄNERSBORG</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46745-2023</t>
        </is>
      </c>
      <c r="B4767" s="1" t="n">
        <v>45198</v>
      </c>
      <c r="C4767" s="1" t="n">
        <v>46011</v>
      </c>
      <c r="D4767" t="inlineStr">
        <is>
          <t>VÄSTRA GÖTALANDS LÄN</t>
        </is>
      </c>
      <c r="E4767" t="inlineStr">
        <is>
          <t>BENGTSFORS</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40589-2025</t>
        </is>
      </c>
      <c r="B4768" s="1" t="n">
        <v>45896.53821759259</v>
      </c>
      <c r="C4768" s="1" t="n">
        <v>46011</v>
      </c>
      <c r="D4768" t="inlineStr">
        <is>
          <t>VÄSTRA GÖTALANDS LÄN</t>
        </is>
      </c>
      <c r="E4768" t="inlineStr">
        <is>
          <t>FALKÖPING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40443-2025</t>
        </is>
      </c>
      <c r="B4769" s="1" t="n">
        <v>45895.62972222222</v>
      </c>
      <c r="C4769" s="1" t="n">
        <v>46011</v>
      </c>
      <c r="D4769" t="inlineStr">
        <is>
          <t>VÄSTRA GÖTALANDS LÄN</t>
        </is>
      </c>
      <c r="E4769" t="inlineStr">
        <is>
          <t>MARK</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36844-2024</t>
        </is>
      </c>
      <c r="B4770" s="1" t="n">
        <v>45538.54412037037</v>
      </c>
      <c r="C4770" s="1" t="n">
        <v>46011</v>
      </c>
      <c r="D4770" t="inlineStr">
        <is>
          <t>VÄSTRA GÖTALANDS LÄN</t>
        </is>
      </c>
      <c r="E4770" t="inlineStr">
        <is>
          <t>TANUM</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27249-2025</t>
        </is>
      </c>
      <c r="B4771" s="1" t="n">
        <v>45812.46844907408</v>
      </c>
      <c r="C4771" s="1" t="n">
        <v>46011</v>
      </c>
      <c r="D4771" t="inlineStr">
        <is>
          <t>VÄSTRA GÖTALANDS LÄN</t>
        </is>
      </c>
      <c r="E4771" t="inlineStr">
        <is>
          <t>VÅRGÅRDA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36894-2024</t>
        </is>
      </c>
      <c r="B4772" s="1" t="n">
        <v>45538</v>
      </c>
      <c r="C4772" s="1" t="n">
        <v>46011</v>
      </c>
      <c r="D4772" t="inlineStr">
        <is>
          <t>VÄSTRA GÖTALANDS LÄN</t>
        </is>
      </c>
      <c r="E4772" t="inlineStr">
        <is>
          <t>GULLSPÅNG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13718-2025</t>
        </is>
      </c>
      <c r="B4773" s="1" t="n">
        <v>45737</v>
      </c>
      <c r="C4773" s="1" t="n">
        <v>46011</v>
      </c>
      <c r="D4773" t="inlineStr">
        <is>
          <t>VÄSTRA GÖTALANDS LÄN</t>
        </is>
      </c>
      <c r="E4773" t="inlineStr">
        <is>
          <t>GRÄSTORP</t>
        </is>
      </c>
      <c r="F4773" t="inlineStr">
        <is>
          <t>Kyrkan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40555-2025</t>
        </is>
      </c>
      <c r="B4774" s="1" t="n">
        <v>45896</v>
      </c>
      <c r="C4774" s="1" t="n">
        <v>46011</v>
      </c>
      <c r="D4774" t="inlineStr">
        <is>
          <t>VÄSTRA GÖTALANDS LÄN</t>
        </is>
      </c>
      <c r="E4774" t="inlineStr">
        <is>
          <t>FALKÖPING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27275-2025</t>
        </is>
      </c>
      <c r="B4775" s="1" t="n">
        <v>45812.51912037037</v>
      </c>
      <c r="C4775" s="1" t="n">
        <v>46011</v>
      </c>
      <c r="D4775" t="inlineStr">
        <is>
          <t>VÄSTRA GÖTALANDS LÄN</t>
        </is>
      </c>
      <c r="E4775" t="inlineStr">
        <is>
          <t>BORÅS</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27277-2025</t>
        </is>
      </c>
      <c r="B4776" s="1" t="n">
        <v>45812.52674768519</v>
      </c>
      <c r="C4776" s="1" t="n">
        <v>46011</v>
      </c>
      <c r="D4776" t="inlineStr">
        <is>
          <t>VÄSTRA GÖTALANDS LÄN</t>
        </is>
      </c>
      <c r="E4776" t="inlineStr">
        <is>
          <t>ORUST</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29223-2024</t>
        </is>
      </c>
      <c r="B4777" s="1" t="n">
        <v>45482.81978009259</v>
      </c>
      <c r="C4777" s="1" t="n">
        <v>46011</v>
      </c>
      <c r="D4777" t="inlineStr">
        <is>
          <t>VÄSTRA GÖTALANDS LÄN</t>
        </is>
      </c>
      <c r="E4777" t="inlineStr">
        <is>
          <t>KUNGÄLV</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40365-2025</t>
        </is>
      </c>
      <c r="B4778" s="1" t="n">
        <v>45895.49549768519</v>
      </c>
      <c r="C4778" s="1" t="n">
        <v>46011</v>
      </c>
      <c r="D4778" t="inlineStr">
        <is>
          <t>VÄSTRA GÖTALANDS LÄN</t>
        </is>
      </c>
      <c r="E4778" t="inlineStr">
        <is>
          <t>ULRICEHAMN</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27267-2025</t>
        </is>
      </c>
      <c r="B4779" s="1" t="n">
        <v>45812.49005787037</v>
      </c>
      <c r="C4779" s="1" t="n">
        <v>46011</v>
      </c>
      <c r="D4779" t="inlineStr">
        <is>
          <t>VÄSTRA GÖTALANDS LÄN</t>
        </is>
      </c>
      <c r="E4779" t="inlineStr">
        <is>
          <t>BENGTSFORS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27274-2025</t>
        </is>
      </c>
      <c r="B4780" s="1" t="n">
        <v>45812.51744212963</v>
      </c>
      <c r="C4780" s="1" t="n">
        <v>46011</v>
      </c>
      <c r="D4780" t="inlineStr">
        <is>
          <t>VÄSTRA GÖTALANDS LÄN</t>
        </is>
      </c>
      <c r="E4780" t="inlineStr">
        <is>
          <t>BORÅS</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2060-2023</t>
        </is>
      </c>
      <c r="B4781" s="1" t="n">
        <v>44939</v>
      </c>
      <c r="C4781" s="1" t="n">
        <v>46011</v>
      </c>
      <c r="D4781" t="inlineStr">
        <is>
          <t>VÄSTRA GÖTALANDS LÄN</t>
        </is>
      </c>
      <c r="E4781" t="inlineStr">
        <is>
          <t>HJO</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40457-2025</t>
        </is>
      </c>
      <c r="B4782" s="1" t="n">
        <v>45895</v>
      </c>
      <c r="C4782" s="1" t="n">
        <v>46011</v>
      </c>
      <c r="D4782" t="inlineStr">
        <is>
          <t>VÄSTRA GÖTALANDS LÄN</t>
        </is>
      </c>
      <c r="E4782" t="inlineStr">
        <is>
          <t>DALS-ED</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40469-2025</t>
        </is>
      </c>
      <c r="B4783" s="1" t="n">
        <v>45895.66614583333</v>
      </c>
      <c r="C4783" s="1" t="n">
        <v>46011</v>
      </c>
      <c r="D4783" t="inlineStr">
        <is>
          <t>VÄSTRA GÖTALANDS LÄN</t>
        </is>
      </c>
      <c r="E4783" t="inlineStr">
        <is>
          <t>TRANEMO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27112-2025</t>
        </is>
      </c>
      <c r="B4784" s="1" t="n">
        <v>45811.73366898148</v>
      </c>
      <c r="C4784" s="1" t="n">
        <v>46011</v>
      </c>
      <c r="D4784" t="inlineStr">
        <is>
          <t>VÄSTRA GÖTALANDS LÄN</t>
        </is>
      </c>
      <c r="E4784" t="inlineStr">
        <is>
          <t>VÅRGÅRDA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40672-2025</t>
        </is>
      </c>
      <c r="B4785" s="1" t="n">
        <v>45896.68271990741</v>
      </c>
      <c r="C4785" s="1" t="n">
        <v>46011</v>
      </c>
      <c r="D4785" t="inlineStr">
        <is>
          <t>VÄSTRA GÖTALANDS LÄN</t>
        </is>
      </c>
      <c r="E4785" t="inlineStr">
        <is>
          <t>HERRLJUNGA</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40631-2025</t>
        </is>
      </c>
      <c r="B4786" s="1" t="n">
        <v>45896.59461805555</v>
      </c>
      <c r="C4786" s="1" t="n">
        <v>46011</v>
      </c>
      <c r="D4786" t="inlineStr">
        <is>
          <t>VÄSTRA GÖTALANDS LÄN</t>
        </is>
      </c>
      <c r="E4786" t="inlineStr">
        <is>
          <t>MARK</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27138-2025</t>
        </is>
      </c>
      <c r="B4787" s="1" t="n">
        <v>45811.9821875</v>
      </c>
      <c r="C4787" s="1" t="n">
        <v>46011</v>
      </c>
      <c r="D4787" t="inlineStr">
        <is>
          <t>VÄSTRA GÖTALANDS LÄN</t>
        </is>
      </c>
      <c r="E4787" t="inlineStr">
        <is>
          <t>MARK</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3750-2022</t>
        </is>
      </c>
      <c r="B4788" s="1" t="n">
        <v>44586.71618055556</v>
      </c>
      <c r="C4788" s="1" t="n">
        <v>46011</v>
      </c>
      <c r="D4788" t="inlineStr">
        <is>
          <t>VÄSTRA GÖTALANDS LÄN</t>
        </is>
      </c>
      <c r="E4788" t="inlineStr">
        <is>
          <t>ORUST</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47466-2024</t>
        </is>
      </c>
      <c r="B4789" s="1" t="n">
        <v>45586</v>
      </c>
      <c r="C4789" s="1" t="n">
        <v>46011</v>
      </c>
      <c r="D4789" t="inlineStr">
        <is>
          <t>VÄSTRA GÖTALANDS LÄN</t>
        </is>
      </c>
      <c r="E4789" t="inlineStr">
        <is>
          <t>SKÖVDE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47485-2024</t>
        </is>
      </c>
      <c r="B4790" s="1" t="n">
        <v>45587</v>
      </c>
      <c r="C4790" s="1" t="n">
        <v>46011</v>
      </c>
      <c r="D4790" t="inlineStr">
        <is>
          <t>VÄSTRA GÖTALANDS LÄN</t>
        </is>
      </c>
      <c r="E4790" t="inlineStr">
        <is>
          <t>TIDAHOLM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47490-2024</t>
        </is>
      </c>
      <c r="B4791" s="1" t="n">
        <v>45586</v>
      </c>
      <c r="C4791" s="1" t="n">
        <v>46011</v>
      </c>
      <c r="D4791" t="inlineStr">
        <is>
          <t>VÄSTRA GÖTALANDS LÄN</t>
        </is>
      </c>
      <c r="E4791" t="inlineStr">
        <is>
          <t>SKÖVDE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27494-2023</t>
        </is>
      </c>
      <c r="B4792" s="1" t="n">
        <v>45097</v>
      </c>
      <c r="C4792" s="1" t="n">
        <v>46011</v>
      </c>
      <c r="D4792" t="inlineStr">
        <is>
          <t>VÄSTRA GÖTALANDS LÄN</t>
        </is>
      </c>
      <c r="E4792" t="inlineStr">
        <is>
          <t>ULRICEHAMN</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73007-2021</t>
        </is>
      </c>
      <c r="B4793" s="1" t="n">
        <v>44550</v>
      </c>
      <c r="C4793" s="1" t="n">
        <v>46011</v>
      </c>
      <c r="D4793" t="inlineStr">
        <is>
          <t>VÄSTRA GÖTALANDS LÄN</t>
        </is>
      </c>
      <c r="E4793" t="inlineStr">
        <is>
          <t>UDDEVALLA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27529-2023</t>
        </is>
      </c>
      <c r="B4794" s="1" t="n">
        <v>45097</v>
      </c>
      <c r="C4794" s="1" t="n">
        <v>46011</v>
      </c>
      <c r="D4794" t="inlineStr">
        <is>
          <t>VÄSTRA GÖTALANDS LÄN</t>
        </is>
      </c>
      <c r="E4794" t="inlineStr">
        <is>
          <t>UDDEVALLA</t>
        </is>
      </c>
      <c r="G4794" t="n">
        <v>9.699999999999999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40476-2025</t>
        </is>
      </c>
      <c r="B4795" s="1" t="n">
        <v>45895.6833449074</v>
      </c>
      <c r="C4795" s="1" t="n">
        <v>46011</v>
      </c>
      <c r="D4795" t="inlineStr">
        <is>
          <t>VÄSTRA GÖTALANDS LÄN</t>
        </is>
      </c>
      <c r="E4795" t="inlineStr">
        <is>
          <t>MUNKEDAL</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40535-2025</t>
        </is>
      </c>
      <c r="B4796" s="1" t="n">
        <v>45896</v>
      </c>
      <c r="C4796" s="1" t="n">
        <v>46011</v>
      </c>
      <c r="D4796" t="inlineStr">
        <is>
          <t>VÄSTRA GÖTALANDS LÄN</t>
        </is>
      </c>
      <c r="E4796" t="inlineStr">
        <is>
          <t>GULLSPÅNG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40538-2025</t>
        </is>
      </c>
      <c r="B4797" s="1" t="n">
        <v>45896.41814814815</v>
      </c>
      <c r="C4797" s="1" t="n">
        <v>46011</v>
      </c>
      <c r="D4797" t="inlineStr">
        <is>
          <t>VÄSTRA GÖTALANDS LÄN</t>
        </is>
      </c>
      <c r="E4797" t="inlineStr">
        <is>
          <t>VÄNERSBORG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40539-2025</t>
        </is>
      </c>
      <c r="B4798" s="1" t="n">
        <v>45896.41945601852</v>
      </c>
      <c r="C4798" s="1" t="n">
        <v>46011</v>
      </c>
      <c r="D4798" t="inlineStr">
        <is>
          <t>VÄSTRA GÖTALANDS LÄN</t>
        </is>
      </c>
      <c r="E4798" t="inlineStr">
        <is>
          <t>VÄNERSBORG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40564-2025</t>
        </is>
      </c>
      <c r="B4799" s="1" t="n">
        <v>45896.46381944444</v>
      </c>
      <c r="C4799" s="1" t="n">
        <v>46011</v>
      </c>
      <c r="D4799" t="inlineStr">
        <is>
          <t>VÄSTRA GÖTALANDS LÄN</t>
        </is>
      </c>
      <c r="E4799" t="inlineStr">
        <is>
          <t>ULRICEHAMN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41082-2024</t>
        </is>
      </c>
      <c r="B4800" s="1" t="n">
        <v>45559</v>
      </c>
      <c r="C4800" s="1" t="n">
        <v>46011</v>
      </c>
      <c r="D4800" t="inlineStr">
        <is>
          <t>VÄSTRA GÖTALANDS LÄN</t>
        </is>
      </c>
      <c r="E4800" t="inlineStr">
        <is>
          <t>FALKÖPING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14777-2022</t>
        </is>
      </c>
      <c r="B4801" s="1" t="n">
        <v>44656</v>
      </c>
      <c r="C4801" s="1" t="n">
        <v>46011</v>
      </c>
      <c r="D4801" t="inlineStr">
        <is>
          <t>VÄSTRA GÖTALANDS LÄN</t>
        </is>
      </c>
      <c r="E4801" t="inlineStr">
        <is>
          <t>BORÅS</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27152-2025</t>
        </is>
      </c>
      <c r="B4802" s="1" t="n">
        <v>45812.32118055555</v>
      </c>
      <c r="C4802" s="1" t="n">
        <v>46011</v>
      </c>
      <c r="D4802" t="inlineStr">
        <is>
          <t>VÄSTRA GÖTALANDS LÄN</t>
        </is>
      </c>
      <c r="E4802" t="inlineStr">
        <is>
          <t>DALS-ED</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3822-2022</t>
        </is>
      </c>
      <c r="B4803" s="1" t="n">
        <v>44587.34189814814</v>
      </c>
      <c r="C4803" s="1" t="n">
        <v>46011</v>
      </c>
      <c r="D4803" t="inlineStr">
        <is>
          <t>VÄSTRA GÖTALANDS LÄN</t>
        </is>
      </c>
      <c r="E4803" t="inlineStr">
        <is>
          <t>SKARA</t>
        </is>
      </c>
      <c r="F4803" t="inlineStr">
        <is>
          <t>Sveaskog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40592-2025</t>
        </is>
      </c>
      <c r="B4804" s="1" t="n">
        <v>45896.54557870371</v>
      </c>
      <c r="C4804" s="1" t="n">
        <v>46011</v>
      </c>
      <c r="D4804" t="inlineStr">
        <is>
          <t>VÄSTRA GÖTALANDS LÄN</t>
        </is>
      </c>
      <c r="E4804" t="inlineStr">
        <is>
          <t>LIDKÖPING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8948-2022</t>
        </is>
      </c>
      <c r="B4805" s="1" t="n">
        <v>44614</v>
      </c>
      <c r="C4805" s="1" t="n">
        <v>46011</v>
      </c>
      <c r="D4805" t="inlineStr">
        <is>
          <t>VÄSTRA GÖTALANDS LÄN</t>
        </is>
      </c>
      <c r="E4805" t="inlineStr">
        <is>
          <t>STENUNGSUND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59985-2022</t>
        </is>
      </c>
      <c r="B4806" s="1" t="n">
        <v>44909.4491087963</v>
      </c>
      <c r="C4806" s="1" t="n">
        <v>46011</v>
      </c>
      <c r="D4806" t="inlineStr">
        <is>
          <t>VÄSTRA GÖTALANDS LÄN</t>
        </is>
      </c>
      <c r="E4806" t="inlineStr">
        <is>
          <t>ULRICEHAMN</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8962-2022</t>
        </is>
      </c>
      <c r="B4807" s="1" t="n">
        <v>44614.89315972223</v>
      </c>
      <c r="C4807" s="1" t="n">
        <v>46011</v>
      </c>
      <c r="D4807" t="inlineStr">
        <is>
          <t>VÄSTRA GÖTALANDS LÄN</t>
        </is>
      </c>
      <c r="E4807" t="inlineStr">
        <is>
          <t>SVENLJUNGA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10598-2023</t>
        </is>
      </c>
      <c r="B4808" s="1" t="n">
        <v>44988.39259259259</v>
      </c>
      <c r="C4808" s="1" t="n">
        <v>46011</v>
      </c>
      <c r="D4808" t="inlineStr">
        <is>
          <t>VÄSTRA GÖTALANDS LÄN</t>
        </is>
      </c>
      <c r="E4808" t="inlineStr">
        <is>
          <t>TÖREBODA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10607-2023</t>
        </is>
      </c>
      <c r="B4809" s="1" t="n">
        <v>44988.40950231482</v>
      </c>
      <c r="C4809" s="1" t="n">
        <v>46011</v>
      </c>
      <c r="D4809" t="inlineStr">
        <is>
          <t>VÄSTRA GÖTALANDS LÄN</t>
        </is>
      </c>
      <c r="E4809" t="inlineStr">
        <is>
          <t>TRANEMO</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40288-2025</t>
        </is>
      </c>
      <c r="B4810" s="1" t="n">
        <v>45895.38059027777</v>
      </c>
      <c r="C4810" s="1" t="n">
        <v>46011</v>
      </c>
      <c r="D4810" t="inlineStr">
        <is>
          <t>VÄSTRA GÖTALANDS LÄN</t>
        </is>
      </c>
      <c r="E4810" t="inlineStr">
        <is>
          <t>MELLERUD</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40289-2025</t>
        </is>
      </c>
      <c r="B4811" s="1" t="n">
        <v>45895</v>
      </c>
      <c r="C4811" s="1" t="n">
        <v>46011</v>
      </c>
      <c r="D4811" t="inlineStr">
        <is>
          <t>VÄSTRA GÖTALANDS LÄN</t>
        </is>
      </c>
      <c r="E4811" t="inlineStr">
        <is>
          <t>BENGTSFORS</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40293-2025</t>
        </is>
      </c>
      <c r="B4812" s="1" t="n">
        <v>45895.386875</v>
      </c>
      <c r="C4812" s="1" t="n">
        <v>46011</v>
      </c>
      <c r="D4812" t="inlineStr">
        <is>
          <t>VÄSTRA GÖTALANDS LÄN</t>
        </is>
      </c>
      <c r="E4812" t="inlineStr">
        <is>
          <t>ÅMÅL</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9746-2024</t>
        </is>
      </c>
      <c r="B4813" s="1" t="n">
        <v>45362.60065972222</v>
      </c>
      <c r="C4813" s="1" t="n">
        <v>46011</v>
      </c>
      <c r="D4813" t="inlineStr">
        <is>
          <t>VÄSTRA GÖTALANDS LÄN</t>
        </is>
      </c>
      <c r="E4813" t="inlineStr">
        <is>
          <t>TRANEMO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9751-2024</t>
        </is>
      </c>
      <c r="B4814" s="1" t="n">
        <v>45362.61083333333</v>
      </c>
      <c r="C4814" s="1" t="n">
        <v>46011</v>
      </c>
      <c r="D4814" t="inlineStr">
        <is>
          <t>VÄSTRA GÖTALANDS LÄN</t>
        </is>
      </c>
      <c r="E4814" t="inlineStr">
        <is>
          <t>ULRICEHAMN</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40281-2025</t>
        </is>
      </c>
      <c r="B4815" s="1" t="n">
        <v>45895.36684027778</v>
      </c>
      <c r="C4815" s="1" t="n">
        <v>46011</v>
      </c>
      <c r="D4815" t="inlineStr">
        <is>
          <t>VÄSTRA GÖTALANDS LÄN</t>
        </is>
      </c>
      <c r="E4815" t="inlineStr">
        <is>
          <t>HÄRRYDA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27151-2025</t>
        </is>
      </c>
      <c r="B4816" s="1" t="n">
        <v>45812.32086805555</v>
      </c>
      <c r="C4816" s="1" t="n">
        <v>46011</v>
      </c>
      <c r="D4816" t="inlineStr">
        <is>
          <t>VÄSTRA GÖTALANDS LÄN</t>
        </is>
      </c>
      <c r="E4816" t="inlineStr">
        <is>
          <t>VARA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9771-2024</t>
        </is>
      </c>
      <c r="B4817" s="1" t="n">
        <v>45362</v>
      </c>
      <c r="C4817" s="1" t="n">
        <v>46011</v>
      </c>
      <c r="D4817" t="inlineStr">
        <is>
          <t>VÄSTRA GÖTALANDS LÄN</t>
        </is>
      </c>
      <c r="E4817" t="inlineStr">
        <is>
          <t>KARLSBORG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40273-2025</t>
        </is>
      </c>
      <c r="B4818" s="1" t="n">
        <v>45895.34994212963</v>
      </c>
      <c r="C4818" s="1" t="n">
        <v>46011</v>
      </c>
      <c r="D4818" t="inlineStr">
        <is>
          <t>VÄSTRA GÖTALANDS LÄN</t>
        </is>
      </c>
      <c r="E4818" t="inlineStr">
        <is>
          <t>HÄRRYDA</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23186-2024</t>
        </is>
      </c>
      <c r="B4819" s="1" t="n">
        <v>45450</v>
      </c>
      <c r="C4819" s="1" t="n">
        <v>46011</v>
      </c>
      <c r="D4819" t="inlineStr">
        <is>
          <t>VÄSTRA GÖTALANDS LÄN</t>
        </is>
      </c>
      <c r="E4819" t="inlineStr">
        <is>
          <t>ÅMÅL</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53400-2024</t>
        </is>
      </c>
      <c r="B4820" s="1" t="n">
        <v>45614.48913194444</v>
      </c>
      <c r="C4820" s="1" t="n">
        <v>46011</v>
      </c>
      <c r="D4820" t="inlineStr">
        <is>
          <t>VÄSTRA GÖTALANDS LÄN</t>
        </is>
      </c>
      <c r="E4820" t="inlineStr">
        <is>
          <t>TIDAHOLM</t>
        </is>
      </c>
      <c r="F4820" t="inlineStr">
        <is>
          <t>Sveaskog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40367-2025</t>
        </is>
      </c>
      <c r="B4821" s="1" t="n">
        <v>45895.50241898148</v>
      </c>
      <c r="C4821" s="1" t="n">
        <v>46011</v>
      </c>
      <c r="D4821" t="inlineStr">
        <is>
          <t>VÄSTRA GÖTALANDS LÄN</t>
        </is>
      </c>
      <c r="E4821" t="inlineStr">
        <is>
          <t>ULRICEHAMN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40380-2025</t>
        </is>
      </c>
      <c r="B4822" s="1" t="n">
        <v>45895.53327546296</v>
      </c>
      <c r="C4822" s="1" t="n">
        <v>46011</v>
      </c>
      <c r="D4822" t="inlineStr">
        <is>
          <t>VÄSTRA GÖTALANDS LÄN</t>
        </is>
      </c>
      <c r="E4822" t="inlineStr">
        <is>
          <t>SVENLJUNGA</t>
        </is>
      </c>
      <c r="F4822" t="inlineStr">
        <is>
          <t>Kyrkan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14316-2022</t>
        </is>
      </c>
      <c r="B4823" s="1" t="n">
        <v>44652.3578587963</v>
      </c>
      <c r="C4823" s="1" t="n">
        <v>46011</v>
      </c>
      <c r="D4823" t="inlineStr">
        <is>
          <t>VÄSTRA GÖTALANDS LÄN</t>
        </is>
      </c>
      <c r="E4823" t="inlineStr">
        <is>
          <t>TRANEMO</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60138-2022</t>
        </is>
      </c>
      <c r="B4824" s="1" t="n">
        <v>44909.67563657407</v>
      </c>
      <c r="C4824" s="1" t="n">
        <v>46011</v>
      </c>
      <c r="D4824" t="inlineStr">
        <is>
          <t>VÄSTRA GÖTALANDS LÄN</t>
        </is>
      </c>
      <c r="E4824" t="inlineStr">
        <is>
          <t>ESSUNGA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40397-2025</t>
        </is>
      </c>
      <c r="B4825" s="1" t="n">
        <v>45895.5594212963</v>
      </c>
      <c r="C4825" s="1" t="n">
        <v>46011</v>
      </c>
      <c r="D4825" t="inlineStr">
        <is>
          <t>VÄSTRA GÖTALANDS LÄN</t>
        </is>
      </c>
      <c r="E4825" t="inlineStr">
        <is>
          <t>ULRICEHAMN</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27130-2025</t>
        </is>
      </c>
      <c r="B4826" s="1" t="n">
        <v>45811</v>
      </c>
      <c r="C4826" s="1" t="n">
        <v>46011</v>
      </c>
      <c r="D4826" t="inlineStr">
        <is>
          <t>VÄSTRA GÖTALANDS LÄN</t>
        </is>
      </c>
      <c r="E4826" t="inlineStr">
        <is>
          <t>BENGTSFORS</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6147-2022</t>
        </is>
      </c>
      <c r="B4827" s="1" t="n">
        <v>44599</v>
      </c>
      <c r="C4827" s="1" t="n">
        <v>46011</v>
      </c>
      <c r="D4827" t="inlineStr">
        <is>
          <t>VÄSTRA GÖTALANDS LÄN</t>
        </is>
      </c>
      <c r="E4827" t="inlineStr">
        <is>
          <t>STENUNGSUND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8950-2024</t>
        </is>
      </c>
      <c r="B4828" s="1" t="n">
        <v>45357.44467592592</v>
      </c>
      <c r="C4828" s="1" t="n">
        <v>46011</v>
      </c>
      <c r="D4828" t="inlineStr">
        <is>
          <t>VÄSTRA GÖTALANDS LÄN</t>
        </is>
      </c>
      <c r="E4828" t="inlineStr">
        <is>
          <t>LIDKÖPING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40420-2025</t>
        </is>
      </c>
      <c r="B4829" s="1" t="n">
        <v>45895.58357638889</v>
      </c>
      <c r="C4829" s="1" t="n">
        <v>46011</v>
      </c>
      <c r="D4829" t="inlineStr">
        <is>
          <t>VÄSTRA GÖTALANDS LÄN</t>
        </is>
      </c>
      <c r="E4829" t="inlineStr">
        <is>
          <t>FÄRGELANDA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26911-2025</t>
        </is>
      </c>
      <c r="B4830" s="1" t="n">
        <v>45811.35607638889</v>
      </c>
      <c r="C4830" s="1" t="n">
        <v>46011</v>
      </c>
      <c r="D4830" t="inlineStr">
        <is>
          <t>VÄSTRA GÖTALANDS LÄN</t>
        </is>
      </c>
      <c r="E4830" t="inlineStr">
        <is>
          <t>ÅMÅL</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26912-2025</t>
        </is>
      </c>
      <c r="B4831" s="1" t="n">
        <v>45811.35936342592</v>
      </c>
      <c r="C4831" s="1" t="n">
        <v>46011</v>
      </c>
      <c r="D4831" t="inlineStr">
        <is>
          <t>VÄSTRA GÖTALANDS LÄN</t>
        </is>
      </c>
      <c r="E4831" t="inlineStr">
        <is>
          <t>ÅMÅL</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8970-2024</t>
        </is>
      </c>
      <c r="B4832" s="1" t="n">
        <v>45357.49026620371</v>
      </c>
      <c r="C4832" s="1" t="n">
        <v>46011</v>
      </c>
      <c r="D4832" t="inlineStr">
        <is>
          <t>VÄSTRA GÖTALANDS LÄN</t>
        </is>
      </c>
      <c r="E4832" t="inlineStr">
        <is>
          <t>SVENLJUNGA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40430-2025</t>
        </is>
      </c>
      <c r="B4833" s="1" t="n">
        <v>45895</v>
      </c>
      <c r="C4833" s="1" t="n">
        <v>46011</v>
      </c>
      <c r="D4833" t="inlineStr">
        <is>
          <t>VÄSTRA GÖTALANDS LÄN</t>
        </is>
      </c>
      <c r="E4833" t="inlineStr">
        <is>
          <t>STRÖMSTAD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40431-2025</t>
        </is>
      </c>
      <c r="B4834" s="1" t="n">
        <v>45895.6096412037</v>
      </c>
      <c r="C4834" s="1" t="n">
        <v>46011</v>
      </c>
      <c r="D4834" t="inlineStr">
        <is>
          <t>VÄSTRA GÖTALANDS LÄN</t>
        </is>
      </c>
      <c r="E4834" t="inlineStr">
        <is>
          <t>MUNKEDAL</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40433-2025</t>
        </is>
      </c>
      <c r="B4835" s="1" t="n">
        <v>45895</v>
      </c>
      <c r="C4835" s="1" t="n">
        <v>46011</v>
      </c>
      <c r="D4835" t="inlineStr">
        <is>
          <t>VÄSTRA GÖTALANDS LÄN</t>
        </is>
      </c>
      <c r="E4835" t="inlineStr">
        <is>
          <t>TANUM</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40599-2025</t>
        </is>
      </c>
      <c r="B4836" s="1" t="n">
        <v>45896.55476851852</v>
      </c>
      <c r="C4836" s="1" t="n">
        <v>46011</v>
      </c>
      <c r="D4836" t="inlineStr">
        <is>
          <t>VÄSTRA GÖTALANDS LÄN</t>
        </is>
      </c>
      <c r="E4836" t="inlineStr">
        <is>
          <t>MARK</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8983-2024</t>
        </is>
      </c>
      <c r="B4837" s="1" t="n">
        <v>45356</v>
      </c>
      <c r="C4837" s="1" t="n">
        <v>46011</v>
      </c>
      <c r="D4837" t="inlineStr">
        <is>
          <t>VÄSTRA GÖTALANDS LÄN</t>
        </is>
      </c>
      <c r="E4837" t="inlineStr">
        <is>
          <t>VÅRGÅRDA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38015-2024</t>
        </is>
      </c>
      <c r="B4838" s="1" t="n">
        <v>45544.62965277778</v>
      </c>
      <c r="C4838" s="1" t="n">
        <v>46011</v>
      </c>
      <c r="D4838" t="inlineStr">
        <is>
          <t>VÄSTRA GÖTALANDS LÄN</t>
        </is>
      </c>
      <c r="E4838" t="inlineStr">
        <is>
          <t>TRANEMO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40331-2025</t>
        </is>
      </c>
      <c r="B4839" s="1" t="n">
        <v>45895</v>
      </c>
      <c r="C4839" s="1" t="n">
        <v>46011</v>
      </c>
      <c r="D4839" t="inlineStr">
        <is>
          <t>VÄSTRA GÖTALANDS LÄN</t>
        </is>
      </c>
      <c r="E4839" t="inlineStr">
        <is>
          <t>UDDEVALLA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32847-2023</t>
        </is>
      </c>
      <c r="B4840" s="1" t="n">
        <v>45124.61965277778</v>
      </c>
      <c r="C4840" s="1" t="n">
        <v>46011</v>
      </c>
      <c r="D4840" t="inlineStr">
        <is>
          <t>VÄSTRA GÖTALANDS LÄN</t>
        </is>
      </c>
      <c r="E4840" t="inlineStr">
        <is>
          <t>KUNGÄLV</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17528-2024</t>
        </is>
      </c>
      <c r="B4841" s="1" t="n">
        <v>45415.60586805556</v>
      </c>
      <c r="C4841" s="1" t="n">
        <v>46011</v>
      </c>
      <c r="D4841" t="inlineStr">
        <is>
          <t>VÄSTRA GÖTALANDS LÄN</t>
        </is>
      </c>
      <c r="E4841" t="inlineStr">
        <is>
          <t>MELLERUD</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40383-2025</t>
        </is>
      </c>
      <c r="B4842" s="1" t="n">
        <v>45895</v>
      </c>
      <c r="C4842" s="1" t="n">
        <v>46011</v>
      </c>
      <c r="D4842" t="inlineStr">
        <is>
          <t>VÄSTRA GÖTALANDS LÄN</t>
        </is>
      </c>
      <c r="E4842" t="inlineStr">
        <is>
          <t>STRÖMSTAD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40408-2025</t>
        </is>
      </c>
      <c r="B4843" s="1" t="n">
        <v>45895.57215277778</v>
      </c>
      <c r="C4843" s="1" t="n">
        <v>46011</v>
      </c>
      <c r="D4843" t="inlineStr">
        <is>
          <t>VÄSTRA GÖTALANDS LÄN</t>
        </is>
      </c>
      <c r="E4843" t="inlineStr">
        <is>
          <t>ULRICEHAMN</t>
        </is>
      </c>
      <c r="F4843" t="inlineStr">
        <is>
          <t>Kommuner</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40425-2025</t>
        </is>
      </c>
      <c r="B4844" s="1" t="n">
        <v>45895.58871527778</v>
      </c>
      <c r="C4844" s="1" t="n">
        <v>46011</v>
      </c>
      <c r="D4844" t="inlineStr">
        <is>
          <t>VÄSTRA GÖTALANDS LÄN</t>
        </is>
      </c>
      <c r="E4844" t="inlineStr">
        <is>
          <t>ULRICEHAMN</t>
        </is>
      </c>
      <c r="F4844" t="inlineStr">
        <is>
          <t>Kommuner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26963-2025</t>
        </is>
      </c>
      <c r="B4845" s="1" t="n">
        <v>45811.46427083333</v>
      </c>
      <c r="C4845" s="1" t="n">
        <v>46011</v>
      </c>
      <c r="D4845" t="inlineStr">
        <is>
          <t>VÄSTRA GÖTALANDS LÄN</t>
        </is>
      </c>
      <c r="E4845" t="inlineStr">
        <is>
          <t>TÖREBODA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26964-2025</t>
        </is>
      </c>
      <c r="B4846" s="1" t="n">
        <v>45811.46918981482</v>
      </c>
      <c r="C4846" s="1" t="n">
        <v>46011</v>
      </c>
      <c r="D4846" t="inlineStr">
        <is>
          <t>VÄSTRA GÖTALANDS LÄN</t>
        </is>
      </c>
      <c r="E4846" t="inlineStr">
        <is>
          <t>VÅRGÅRDA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11991-2022</t>
        </is>
      </c>
      <c r="B4847" s="1" t="n">
        <v>44635.69287037037</v>
      </c>
      <c r="C4847" s="1" t="n">
        <v>46011</v>
      </c>
      <c r="D4847" t="inlineStr">
        <is>
          <t>VÄSTRA GÖTALANDS LÄN</t>
        </is>
      </c>
      <c r="E4847" t="inlineStr">
        <is>
          <t>TROLLHÄTTAN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40442-2025</t>
        </is>
      </c>
      <c r="B4848" s="1" t="n">
        <v>45895</v>
      </c>
      <c r="C4848" s="1" t="n">
        <v>46011</v>
      </c>
      <c r="D4848" t="inlineStr">
        <is>
          <t>VÄSTRA GÖTALANDS LÄN</t>
        </is>
      </c>
      <c r="E4848" t="inlineStr">
        <is>
          <t>ORUST</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26970-2025</t>
        </is>
      </c>
      <c r="B4849" s="1" t="n">
        <v>45811.48039351852</v>
      </c>
      <c r="C4849" s="1" t="n">
        <v>46011</v>
      </c>
      <c r="D4849" t="inlineStr">
        <is>
          <t>VÄSTRA GÖTALANDS LÄN</t>
        </is>
      </c>
      <c r="E4849" t="inlineStr">
        <is>
          <t>TIDAHOLM</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27391-2025</t>
        </is>
      </c>
      <c r="B4850" s="1" t="n">
        <v>45812.68253472223</v>
      </c>
      <c r="C4850" s="1" t="n">
        <v>46011</v>
      </c>
      <c r="D4850" t="inlineStr">
        <is>
          <t>VÄSTRA GÖTALANDS LÄN</t>
        </is>
      </c>
      <c r="E4850" t="inlineStr">
        <is>
          <t>ALINGSÅS</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47311-2023</t>
        </is>
      </c>
      <c r="B4851" s="1" t="n">
        <v>45202.49175925926</v>
      </c>
      <c r="C4851" s="1" t="n">
        <v>46011</v>
      </c>
      <c r="D4851" t="inlineStr">
        <is>
          <t>VÄSTRA GÖTALANDS LÄN</t>
        </is>
      </c>
      <c r="E4851" t="inlineStr">
        <is>
          <t>DALS-ED</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40299-2025</t>
        </is>
      </c>
      <c r="B4852" s="1" t="n">
        <v>45895.39837962963</v>
      </c>
      <c r="C4852" s="1" t="n">
        <v>46011</v>
      </c>
      <c r="D4852" t="inlineStr">
        <is>
          <t>VÄSTRA GÖTALANDS LÄN</t>
        </is>
      </c>
      <c r="E4852" t="inlineStr">
        <is>
          <t>HÄRRYDA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1629-2025</t>
        </is>
      </c>
      <c r="B4853" s="1" t="n">
        <v>45670.6265162037</v>
      </c>
      <c r="C4853" s="1" t="n">
        <v>46011</v>
      </c>
      <c r="D4853" t="inlineStr">
        <is>
          <t>VÄSTRA GÖTALANDS LÄN</t>
        </is>
      </c>
      <c r="E4853" t="inlineStr">
        <is>
          <t>SKÖVDE</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16039-2022</t>
        </is>
      </c>
      <c r="B4854" s="1" t="n">
        <v>44665</v>
      </c>
      <c r="C4854" s="1" t="n">
        <v>46011</v>
      </c>
      <c r="D4854" t="inlineStr">
        <is>
          <t>VÄSTRA GÖTALANDS LÄN</t>
        </is>
      </c>
      <c r="E4854" t="inlineStr">
        <is>
          <t>TRANEMO</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40458-2025</t>
        </is>
      </c>
      <c r="B4855" s="1" t="n">
        <v>45895.64790509259</v>
      </c>
      <c r="C4855" s="1" t="n">
        <v>46011</v>
      </c>
      <c r="D4855" t="inlineStr">
        <is>
          <t>VÄSTRA GÖTALANDS LÄN</t>
        </is>
      </c>
      <c r="E4855" t="inlineStr">
        <is>
          <t>TANUM</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40352-2025</t>
        </is>
      </c>
      <c r="B4856" s="1" t="n">
        <v>45895</v>
      </c>
      <c r="C4856" s="1" t="n">
        <v>46011</v>
      </c>
      <c r="D4856" t="inlineStr">
        <is>
          <t>VÄSTRA GÖTALANDS LÄN</t>
        </is>
      </c>
      <c r="E4856" t="inlineStr">
        <is>
          <t>TANUM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37736-2024</t>
        </is>
      </c>
      <c r="B4857" s="1" t="n">
        <v>45541.66744212963</v>
      </c>
      <c r="C4857" s="1" t="n">
        <v>46011</v>
      </c>
      <c r="D4857" t="inlineStr">
        <is>
          <t>VÄSTRA GÖTALANDS LÄN</t>
        </is>
      </c>
      <c r="E4857" t="inlineStr">
        <is>
          <t>BENGTSFORS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52922-2024</t>
        </is>
      </c>
      <c r="B4858" s="1" t="n">
        <v>45610.71511574074</v>
      </c>
      <c r="C4858" s="1" t="n">
        <v>46011</v>
      </c>
      <c r="D4858" t="inlineStr">
        <is>
          <t>VÄSTRA GÖTALANDS LÄN</t>
        </is>
      </c>
      <c r="E4858" t="inlineStr">
        <is>
          <t>MELLERUD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27125-2025</t>
        </is>
      </c>
      <c r="B4859" s="1" t="n">
        <v>45811.84207175926</v>
      </c>
      <c r="C4859" s="1" t="n">
        <v>46011</v>
      </c>
      <c r="D4859" t="inlineStr">
        <is>
          <t>VÄSTRA GÖTALANDS LÄN</t>
        </is>
      </c>
      <c r="E4859" t="inlineStr">
        <is>
          <t>ESSUNGA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40544-2025</t>
        </is>
      </c>
      <c r="B4860" s="1" t="n">
        <v>45896.43144675926</v>
      </c>
      <c r="C4860" s="1" t="n">
        <v>46011</v>
      </c>
      <c r="D4860" t="inlineStr">
        <is>
          <t>VÄSTRA GÖTALANDS LÄN</t>
        </is>
      </c>
      <c r="E4860" t="inlineStr">
        <is>
          <t>VÄNERSBORG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27227-2025</t>
        </is>
      </c>
      <c r="B4861" s="1" t="n">
        <v>45812.43118055556</v>
      </c>
      <c r="C4861" s="1" t="n">
        <v>46011</v>
      </c>
      <c r="D4861" t="inlineStr">
        <is>
          <t>VÄSTRA GÖTALANDS LÄN</t>
        </is>
      </c>
      <c r="E4861" t="inlineStr">
        <is>
          <t>VÅRGÅRDA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2026-2025</t>
        </is>
      </c>
      <c r="B4862" s="1" t="n">
        <v>45672.48296296296</v>
      </c>
      <c r="C4862" s="1" t="n">
        <v>46011</v>
      </c>
      <c r="D4862" t="inlineStr">
        <is>
          <t>VÄSTRA GÖTALANDS LÄN</t>
        </is>
      </c>
      <c r="E4862" t="inlineStr">
        <is>
          <t>UDDEVALLA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40550-2025</t>
        </is>
      </c>
      <c r="B4863" s="1" t="n">
        <v>45896.44113425926</v>
      </c>
      <c r="C4863" s="1" t="n">
        <v>46011</v>
      </c>
      <c r="D4863" t="inlineStr">
        <is>
          <t>VÄSTRA GÖTALANDS LÄN</t>
        </is>
      </c>
      <c r="E4863" t="inlineStr">
        <is>
          <t>VÄNERSBORG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40239-2025</t>
        </is>
      </c>
      <c r="B4864" s="1" t="n">
        <v>45894.84497685185</v>
      </c>
      <c r="C4864" s="1" t="n">
        <v>46011</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36945-2024</t>
        </is>
      </c>
      <c r="B4865" s="1" t="n">
        <v>45538.69571759259</v>
      </c>
      <c r="C4865" s="1" t="n">
        <v>46011</v>
      </c>
      <c r="D4865" t="inlineStr">
        <is>
          <t>VÄSTRA GÖTALANDS LÄN</t>
        </is>
      </c>
      <c r="E4865" t="inlineStr">
        <is>
          <t>LIDKÖPING</t>
        </is>
      </c>
      <c r="F4865" t="inlineStr">
        <is>
          <t>Kommuner</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57036-2024</t>
        </is>
      </c>
      <c r="B4866" s="1" t="n">
        <v>45629.2527662037</v>
      </c>
      <c r="C4866" s="1" t="n">
        <v>46011</v>
      </c>
      <c r="D4866" t="inlineStr">
        <is>
          <t>VÄSTRA GÖTALANDS LÄN</t>
        </is>
      </c>
      <c r="E4866" t="inlineStr">
        <is>
          <t>BOLLEBYGD</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40258-2025</t>
        </is>
      </c>
      <c r="B4867" s="1" t="n">
        <v>45895.32802083333</v>
      </c>
      <c r="C4867" s="1" t="n">
        <v>46011</v>
      </c>
      <c r="D4867" t="inlineStr">
        <is>
          <t>VÄSTRA GÖTALANDS LÄN</t>
        </is>
      </c>
      <c r="E4867" t="inlineStr">
        <is>
          <t>MARK</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60590-2024</t>
        </is>
      </c>
      <c r="B4868" s="1" t="n">
        <v>45644.35127314815</v>
      </c>
      <c r="C4868" s="1" t="n">
        <v>46011</v>
      </c>
      <c r="D4868" t="inlineStr">
        <is>
          <t>VÄSTRA GÖTALANDS LÄN</t>
        </is>
      </c>
      <c r="E4868" t="inlineStr">
        <is>
          <t>DALS-ED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28084-2024</t>
        </is>
      </c>
      <c r="B4869" s="1" t="n">
        <v>45476.5928587963</v>
      </c>
      <c r="C4869" s="1" t="n">
        <v>46011</v>
      </c>
      <c r="D4869" t="inlineStr">
        <is>
          <t>VÄSTRA GÖTALANDS LÄN</t>
        </is>
      </c>
      <c r="E4869" t="inlineStr">
        <is>
          <t>MARK</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40645-2025</t>
        </is>
      </c>
      <c r="B4870" s="1" t="n">
        <v>45896.61844907407</v>
      </c>
      <c r="C4870" s="1" t="n">
        <v>46011</v>
      </c>
      <c r="D4870" t="inlineStr">
        <is>
          <t>VÄSTRA GÖTALANDS LÄN</t>
        </is>
      </c>
      <c r="E4870" t="inlineStr">
        <is>
          <t>MARK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26899-2025</t>
        </is>
      </c>
      <c r="B4871" s="1" t="n">
        <v>45811.34417824074</v>
      </c>
      <c r="C4871" s="1" t="n">
        <v>46011</v>
      </c>
      <c r="D4871" t="inlineStr">
        <is>
          <t>VÄSTRA GÖTALANDS LÄN</t>
        </is>
      </c>
      <c r="E4871" t="inlineStr">
        <is>
          <t>DALS-ED</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26941-2025</t>
        </is>
      </c>
      <c r="B4872" s="1" t="n">
        <v>45811</v>
      </c>
      <c r="C4872" s="1" t="n">
        <v>46011</v>
      </c>
      <c r="D4872" t="inlineStr">
        <is>
          <t>VÄSTRA GÖTALANDS LÄN</t>
        </is>
      </c>
      <c r="E4872" t="inlineStr">
        <is>
          <t>TÖREBODA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47649-2023</t>
        </is>
      </c>
      <c r="B4873" s="1" t="n">
        <v>45203</v>
      </c>
      <c r="C4873" s="1" t="n">
        <v>46011</v>
      </c>
      <c r="D4873" t="inlineStr">
        <is>
          <t>VÄSTRA GÖTALANDS LÄN</t>
        </is>
      </c>
      <c r="E4873" t="inlineStr">
        <is>
          <t>TIBRO</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28118-2024</t>
        </is>
      </c>
      <c r="B4874" s="1" t="n">
        <v>45476.64726851852</v>
      </c>
      <c r="C4874" s="1" t="n">
        <v>46011</v>
      </c>
      <c r="D4874" t="inlineStr">
        <is>
          <t>VÄSTRA GÖTALANDS LÄN</t>
        </is>
      </c>
      <c r="E4874" t="inlineStr">
        <is>
          <t>LERUM</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27016-2025</t>
        </is>
      </c>
      <c r="B4875" s="1" t="n">
        <v>45811.56836805555</v>
      </c>
      <c r="C4875" s="1" t="n">
        <v>46011</v>
      </c>
      <c r="D4875" t="inlineStr">
        <is>
          <t>VÄSTRA GÖTALANDS LÄN</t>
        </is>
      </c>
      <c r="E4875" t="inlineStr">
        <is>
          <t>FALKÖPING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40328-2025</t>
        </is>
      </c>
      <c r="B4876" s="1" t="n">
        <v>45895</v>
      </c>
      <c r="C4876" s="1" t="n">
        <v>46011</v>
      </c>
      <c r="D4876" t="inlineStr">
        <is>
          <t>VÄSTRA GÖTALANDS LÄN</t>
        </is>
      </c>
      <c r="E4876" t="inlineStr">
        <is>
          <t>ORUST</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28139-2024</t>
        </is>
      </c>
      <c r="B4877" s="1" t="n">
        <v>45476.69767361111</v>
      </c>
      <c r="C4877" s="1" t="n">
        <v>46011</v>
      </c>
      <c r="D4877" t="inlineStr">
        <is>
          <t>VÄSTRA GÖTALANDS LÄN</t>
        </is>
      </c>
      <c r="E4877" t="inlineStr">
        <is>
          <t>LERUM</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27367-2025</t>
        </is>
      </c>
      <c r="B4878" s="1" t="n">
        <v>45812.64487268519</v>
      </c>
      <c r="C4878" s="1" t="n">
        <v>46011</v>
      </c>
      <c r="D4878" t="inlineStr">
        <is>
          <t>VÄSTRA GÖTALANDS LÄN</t>
        </is>
      </c>
      <c r="E4878" t="inlineStr">
        <is>
          <t>LERUM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27370-2025</t>
        </is>
      </c>
      <c r="B4879" s="1" t="n">
        <v>45812</v>
      </c>
      <c r="C4879" s="1" t="n">
        <v>46011</v>
      </c>
      <c r="D4879" t="inlineStr">
        <is>
          <t>VÄSTRA GÖTALANDS LÄN</t>
        </is>
      </c>
      <c r="E4879" t="inlineStr">
        <is>
          <t>BORÅS</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27283-2025</t>
        </is>
      </c>
      <c r="B4880" s="1" t="n">
        <v>45812.54665509259</v>
      </c>
      <c r="C4880" s="1" t="n">
        <v>46011</v>
      </c>
      <c r="D4880" t="inlineStr">
        <is>
          <t>VÄSTRA GÖTALANDS LÄN</t>
        </is>
      </c>
      <c r="E4880" t="inlineStr">
        <is>
          <t>ALINGSÅS</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40345-2025</t>
        </is>
      </c>
      <c r="B4881" s="1" t="n">
        <v>45895</v>
      </c>
      <c r="C4881" s="1" t="n">
        <v>46011</v>
      </c>
      <c r="D4881" t="inlineStr">
        <is>
          <t>VÄSTRA GÖTALANDS LÄN</t>
        </is>
      </c>
      <c r="E4881" t="inlineStr">
        <is>
          <t>ULRICEHAMN</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40455-2023</t>
        </is>
      </c>
      <c r="B4882" s="1" t="n">
        <v>45170</v>
      </c>
      <c r="C4882" s="1" t="n">
        <v>46011</v>
      </c>
      <c r="D4882" t="inlineStr">
        <is>
          <t>VÄSTRA GÖTALANDS LÄN</t>
        </is>
      </c>
      <c r="E4882" t="inlineStr">
        <is>
          <t>MARIESTAD</t>
        </is>
      </c>
      <c r="G4882" t="n">
        <v>34.9</v>
      </c>
      <c r="H4882" t="n">
        <v>0</v>
      </c>
      <c r="I4882" t="n">
        <v>0</v>
      </c>
      <c r="J4882" t="n">
        <v>0</v>
      </c>
      <c r="K4882" t="n">
        <v>0</v>
      </c>
      <c r="L4882" t="n">
        <v>0</v>
      </c>
      <c r="M4882" t="n">
        <v>0</v>
      </c>
      <c r="N4882" t="n">
        <v>0</v>
      </c>
      <c r="O4882" t="n">
        <v>0</v>
      </c>
      <c r="P4882" t="n">
        <v>0</v>
      </c>
      <c r="Q4882" t="n">
        <v>0</v>
      </c>
      <c r="R4882" s="2" t="inlineStr"/>
    </row>
    <row r="4883" ht="15" customHeight="1">
      <c r="A4883" t="inlineStr">
        <is>
          <t>A 40276-2025</t>
        </is>
      </c>
      <c r="B4883" s="1" t="n">
        <v>45895.35997685185</v>
      </c>
      <c r="C4883" s="1" t="n">
        <v>46011</v>
      </c>
      <c r="D4883" t="inlineStr">
        <is>
          <t>VÄSTRA GÖTALANDS LÄN</t>
        </is>
      </c>
      <c r="E4883" t="inlineStr">
        <is>
          <t>BOLLEBYGD</t>
        </is>
      </c>
      <c r="F4883" t="inlineStr">
        <is>
          <t>Sveaskog</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40285-2025</t>
        </is>
      </c>
      <c r="B4884" s="1" t="n">
        <v>45895.37532407408</v>
      </c>
      <c r="C4884" s="1" t="n">
        <v>46011</v>
      </c>
      <c r="D4884" t="inlineStr">
        <is>
          <t>VÄSTRA GÖTALANDS LÄN</t>
        </is>
      </c>
      <c r="E4884" t="inlineStr">
        <is>
          <t>HÄRRYDA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40337-2025</t>
        </is>
      </c>
      <c r="B4885" s="1" t="n">
        <v>45895.46729166667</v>
      </c>
      <c r="C4885" s="1" t="n">
        <v>46011</v>
      </c>
      <c r="D4885" t="inlineStr">
        <is>
          <t>VÄSTRA GÖTALANDS LÄN</t>
        </is>
      </c>
      <c r="E4885" t="inlineStr">
        <is>
          <t>ULRICEHAMN</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40338-2025</t>
        </is>
      </c>
      <c r="B4886" s="1" t="n">
        <v>45895</v>
      </c>
      <c r="C4886" s="1" t="n">
        <v>46011</v>
      </c>
      <c r="D4886" t="inlineStr">
        <is>
          <t>VÄSTRA GÖTALANDS LÄN</t>
        </is>
      </c>
      <c r="E4886" t="inlineStr">
        <is>
          <t>ORUST</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15788-2023</t>
        </is>
      </c>
      <c r="B4887" s="1" t="n">
        <v>45021.6837037037</v>
      </c>
      <c r="C4887" s="1" t="n">
        <v>46011</v>
      </c>
      <c r="D4887" t="inlineStr">
        <is>
          <t>VÄSTRA GÖTALANDS LÄN</t>
        </is>
      </c>
      <c r="E4887" t="inlineStr">
        <is>
          <t>MARK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15801-2023</t>
        </is>
      </c>
      <c r="B4888" s="1" t="n">
        <v>45021</v>
      </c>
      <c r="C4888" s="1" t="n">
        <v>46011</v>
      </c>
      <c r="D4888" t="inlineStr">
        <is>
          <t>VÄSTRA GÖTALANDS LÄN</t>
        </is>
      </c>
      <c r="E4888" t="inlineStr">
        <is>
          <t>HERRLJUNGA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40683-2025</t>
        </is>
      </c>
      <c r="B4889" s="1" t="n">
        <v>45896</v>
      </c>
      <c r="C4889" s="1" t="n">
        <v>46011</v>
      </c>
      <c r="D4889" t="inlineStr">
        <is>
          <t>VÄSTRA GÖTALANDS LÄN</t>
        </is>
      </c>
      <c r="E4889" t="inlineStr">
        <is>
          <t>LYSEKIL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10161-2025</t>
        </is>
      </c>
      <c r="B4890" s="1" t="n">
        <v>45719</v>
      </c>
      <c r="C4890" s="1" t="n">
        <v>46011</v>
      </c>
      <c r="D4890" t="inlineStr">
        <is>
          <t>VÄSTRA GÖTALANDS LÄN</t>
        </is>
      </c>
      <c r="E4890" t="inlineStr">
        <is>
          <t>ESSUNGA</t>
        </is>
      </c>
      <c r="F4890" t="inlineStr">
        <is>
          <t>Kyrkan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56681-2022</t>
        </is>
      </c>
      <c r="B4891" s="1" t="n">
        <v>44893</v>
      </c>
      <c r="C4891" s="1" t="n">
        <v>46011</v>
      </c>
      <c r="D4891" t="inlineStr">
        <is>
          <t>VÄSTRA GÖTALANDS LÄN</t>
        </is>
      </c>
      <c r="E4891" t="inlineStr">
        <is>
          <t>BENGTSFORS</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30440-2024</t>
        </is>
      </c>
      <c r="B4892" s="1" t="n">
        <v>45491.81488425926</v>
      </c>
      <c r="C4892" s="1" t="n">
        <v>46011</v>
      </c>
      <c r="D4892" t="inlineStr">
        <is>
          <t>VÄSTRA GÖTALANDS LÄN</t>
        </is>
      </c>
      <c r="E4892" t="inlineStr">
        <is>
          <t>ORUST</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56684-2022</t>
        </is>
      </c>
      <c r="B4893" s="1" t="n">
        <v>44888</v>
      </c>
      <c r="C4893" s="1" t="n">
        <v>46011</v>
      </c>
      <c r="D4893" t="inlineStr">
        <is>
          <t>VÄSTRA GÖTALANDS LÄN</t>
        </is>
      </c>
      <c r="E4893" t="inlineStr">
        <is>
          <t>BORÅS</t>
        </is>
      </c>
      <c r="F4893" t="inlineStr">
        <is>
          <t>Kyrkan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40563-2025</t>
        </is>
      </c>
      <c r="B4894" s="1" t="n">
        <v>45896.46121527778</v>
      </c>
      <c r="C4894" s="1" t="n">
        <v>46011</v>
      </c>
      <c r="D4894" t="inlineStr">
        <is>
          <t>VÄSTRA GÖTALANDS LÄN</t>
        </is>
      </c>
      <c r="E4894" t="inlineStr">
        <is>
          <t>ULRICEHAMN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10398-2024</t>
        </is>
      </c>
      <c r="B4895" s="1" t="n">
        <v>45365.67574074074</v>
      </c>
      <c r="C4895" s="1" t="n">
        <v>46011</v>
      </c>
      <c r="D4895" t="inlineStr">
        <is>
          <t>VÄSTRA GÖTALANDS LÄN</t>
        </is>
      </c>
      <c r="E4895" t="inlineStr">
        <is>
          <t>MELLERUD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27374-2025</t>
        </is>
      </c>
      <c r="B4896" s="1" t="n">
        <v>45812</v>
      </c>
      <c r="C4896" s="1" t="n">
        <v>46011</v>
      </c>
      <c r="D4896" t="inlineStr">
        <is>
          <t>VÄSTRA GÖTALANDS LÄN</t>
        </is>
      </c>
      <c r="E4896" t="inlineStr">
        <is>
          <t>GULLSPÅNG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27379-2025</t>
        </is>
      </c>
      <c r="B4897" s="1" t="n">
        <v>45812</v>
      </c>
      <c r="C4897" s="1" t="n">
        <v>46011</v>
      </c>
      <c r="D4897" t="inlineStr">
        <is>
          <t>VÄSTRA GÖTALANDS LÄN</t>
        </is>
      </c>
      <c r="E4897" t="inlineStr">
        <is>
          <t>GULLSPÅNG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40609-2025</t>
        </is>
      </c>
      <c r="B4898" s="1" t="n">
        <v>45896.57364583333</v>
      </c>
      <c r="C4898" s="1" t="n">
        <v>46011</v>
      </c>
      <c r="D4898" t="inlineStr">
        <is>
          <t>VÄSTRA GÖTALANDS LÄN</t>
        </is>
      </c>
      <c r="E4898" t="inlineStr">
        <is>
          <t>MARK</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58013-2022</t>
        </is>
      </c>
      <c r="B4899" s="1" t="n">
        <v>44900</v>
      </c>
      <c r="C4899" s="1" t="n">
        <v>46011</v>
      </c>
      <c r="D4899" t="inlineStr">
        <is>
          <t>VÄSTRA GÖTALANDS LÄN</t>
        </is>
      </c>
      <c r="E4899" t="inlineStr">
        <is>
          <t>TÖREBODA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58019-2022</t>
        </is>
      </c>
      <c r="B4900" s="1" t="n">
        <v>44900</v>
      </c>
      <c r="C4900" s="1" t="n">
        <v>46011</v>
      </c>
      <c r="D4900" t="inlineStr">
        <is>
          <t>VÄSTRA GÖTALANDS LÄN</t>
        </is>
      </c>
      <c r="E4900" t="inlineStr">
        <is>
          <t>TÖREBODA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58074-2022</t>
        </is>
      </c>
      <c r="B4901" s="1" t="n">
        <v>44900.61518518518</v>
      </c>
      <c r="C4901" s="1" t="n">
        <v>46011</v>
      </c>
      <c r="D4901" t="inlineStr">
        <is>
          <t>VÄSTRA GÖTALANDS LÄN</t>
        </is>
      </c>
      <c r="E4901" t="inlineStr">
        <is>
          <t>VÅRGÅRDA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26914-2025</t>
        </is>
      </c>
      <c r="B4902" s="1" t="n">
        <v>45811.36456018518</v>
      </c>
      <c r="C4902" s="1" t="n">
        <v>46011</v>
      </c>
      <c r="D4902" t="inlineStr">
        <is>
          <t>VÄSTRA GÖTALANDS LÄN</t>
        </is>
      </c>
      <c r="E4902" t="inlineStr">
        <is>
          <t>ÅMÅL</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73594-2021</t>
        </is>
      </c>
      <c r="B4903" s="1" t="n">
        <v>44552</v>
      </c>
      <c r="C4903" s="1" t="n">
        <v>46011</v>
      </c>
      <c r="D4903" t="inlineStr">
        <is>
          <t>VÄSTRA GÖTALANDS LÄN</t>
        </is>
      </c>
      <c r="E4903" t="inlineStr">
        <is>
          <t>BENGTSFORS</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58672-2022</t>
        </is>
      </c>
      <c r="B4904" s="1" t="n">
        <v>44902</v>
      </c>
      <c r="C4904" s="1" t="n">
        <v>46011</v>
      </c>
      <c r="D4904" t="inlineStr">
        <is>
          <t>VÄSTRA GÖTALANDS LÄN</t>
        </is>
      </c>
      <c r="E4904" t="inlineStr">
        <is>
          <t>LIDKÖPING</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8444-2024</t>
        </is>
      </c>
      <c r="B4905" s="1" t="n">
        <v>45354.59090277777</v>
      </c>
      <c r="C4905" s="1" t="n">
        <v>46011</v>
      </c>
      <c r="D4905" t="inlineStr">
        <is>
          <t>VÄSTRA GÖTALANDS LÄN</t>
        </is>
      </c>
      <c r="E4905" t="inlineStr">
        <is>
          <t>ULRICEHAMN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8445-2024</t>
        </is>
      </c>
      <c r="B4906" s="1" t="n">
        <v>45354.64111111111</v>
      </c>
      <c r="C4906" s="1" t="n">
        <v>46011</v>
      </c>
      <c r="D4906" t="inlineStr">
        <is>
          <t>VÄSTRA GÖTALANDS LÄN</t>
        </is>
      </c>
      <c r="E4906" t="inlineStr">
        <is>
          <t>SVENLJUNGA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40321-2025</t>
        </is>
      </c>
      <c r="B4907" s="1" t="n">
        <v>45895.44291666667</v>
      </c>
      <c r="C4907" s="1" t="n">
        <v>46011</v>
      </c>
      <c r="D4907" t="inlineStr">
        <is>
          <t>VÄSTRA GÖTALANDS LÄN</t>
        </is>
      </c>
      <c r="E4907" t="inlineStr">
        <is>
          <t>BORÅS</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40574-2025</t>
        </is>
      </c>
      <c r="B4908" s="1" t="n">
        <v>45896.50040509259</v>
      </c>
      <c r="C4908" s="1" t="n">
        <v>46011</v>
      </c>
      <c r="D4908" t="inlineStr">
        <is>
          <t>VÄSTRA GÖTALANDS LÄN</t>
        </is>
      </c>
      <c r="E4908" t="inlineStr">
        <is>
          <t>DALS-ED</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55405-2021</t>
        </is>
      </c>
      <c r="B4909" s="1" t="n">
        <v>44475.53733796296</v>
      </c>
      <c r="C4909" s="1" t="n">
        <v>46011</v>
      </c>
      <c r="D4909" t="inlineStr">
        <is>
          <t>VÄSTRA GÖTALANDS LÄN</t>
        </is>
      </c>
      <c r="E4909" t="inlineStr">
        <is>
          <t>ALE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62499-2022</t>
        </is>
      </c>
      <c r="B4910" s="1" t="n">
        <v>44924.59118055556</v>
      </c>
      <c r="C4910" s="1" t="n">
        <v>46011</v>
      </c>
      <c r="D4910" t="inlineStr">
        <is>
          <t>VÄSTRA GÖTALANDS LÄN</t>
        </is>
      </c>
      <c r="E4910" t="inlineStr">
        <is>
          <t>GÖTENE</t>
        </is>
      </c>
      <c r="F4910" t="inlineStr">
        <is>
          <t>Övriga Aktiebolag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40648-2025</t>
        </is>
      </c>
      <c r="B4911" s="1" t="n">
        <v>45896</v>
      </c>
      <c r="C4911" s="1" t="n">
        <v>46011</v>
      </c>
      <c r="D4911" t="inlineStr">
        <is>
          <t>VÄSTRA GÖTALANDS LÄN</t>
        </is>
      </c>
      <c r="E4911" t="inlineStr">
        <is>
          <t>GULLSPÅNG</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40322-2025</t>
        </is>
      </c>
      <c r="B4912" s="1" t="n">
        <v>45895.44659722222</v>
      </c>
      <c r="C4912" s="1" t="n">
        <v>46011</v>
      </c>
      <c r="D4912" t="inlineStr">
        <is>
          <t>VÄSTRA GÖTALANDS LÄN</t>
        </is>
      </c>
      <c r="E4912" t="inlineStr">
        <is>
          <t>BORÅS</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40348-2025</t>
        </is>
      </c>
      <c r="B4913" s="1" t="n">
        <v>45895.480625</v>
      </c>
      <c r="C4913" s="1" t="n">
        <v>46011</v>
      </c>
      <c r="D4913" t="inlineStr">
        <is>
          <t>VÄSTRA GÖTALANDS LÄN</t>
        </is>
      </c>
      <c r="E4913" t="inlineStr">
        <is>
          <t>LYSEKIL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40306-2025</t>
        </is>
      </c>
      <c r="B4914" s="1" t="n">
        <v>45895.40923611111</v>
      </c>
      <c r="C4914" s="1" t="n">
        <v>46011</v>
      </c>
      <c r="D4914" t="inlineStr">
        <is>
          <t>VÄSTRA GÖTALANDS LÄN</t>
        </is>
      </c>
      <c r="E4914" t="inlineStr">
        <is>
          <t>HÄRRYDA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61769-2022</t>
        </is>
      </c>
      <c r="B4915" s="1" t="n">
        <v>44917.51072916666</v>
      </c>
      <c r="C4915" s="1" t="n">
        <v>46011</v>
      </c>
      <c r="D4915" t="inlineStr">
        <is>
          <t>VÄSTRA GÖTALANDS LÄN</t>
        </is>
      </c>
      <c r="E4915" t="inlineStr">
        <is>
          <t>HERRLJUNGA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27109-2025</t>
        </is>
      </c>
      <c r="B4916" s="1" t="n">
        <v>45811.73126157407</v>
      </c>
      <c r="C4916" s="1" t="n">
        <v>46011</v>
      </c>
      <c r="D4916" t="inlineStr">
        <is>
          <t>VÄSTRA GÖTALANDS LÄN</t>
        </is>
      </c>
      <c r="E4916" t="inlineStr">
        <is>
          <t>VÅRGÅRDA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27110-2025</t>
        </is>
      </c>
      <c r="B4917" s="1" t="n">
        <v>45811.73269675926</v>
      </c>
      <c r="C4917" s="1" t="n">
        <v>46011</v>
      </c>
      <c r="D4917" t="inlineStr">
        <is>
          <t>VÄSTRA GÖTALANDS LÄN</t>
        </is>
      </c>
      <c r="E4917" t="inlineStr">
        <is>
          <t>VÅRGÅRDA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70345-2021</t>
        </is>
      </c>
      <c r="B4918" s="1" t="n">
        <v>44536</v>
      </c>
      <c r="C4918" s="1" t="n">
        <v>46011</v>
      </c>
      <c r="D4918" t="inlineStr">
        <is>
          <t>VÄSTRA GÖTALANDS LÄN</t>
        </is>
      </c>
      <c r="E4918" t="inlineStr">
        <is>
          <t>ÅMÅL</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40473-2025</t>
        </is>
      </c>
      <c r="B4919" s="1" t="n">
        <v>45895</v>
      </c>
      <c r="C4919" s="1" t="n">
        <v>46011</v>
      </c>
      <c r="D4919" t="inlineStr">
        <is>
          <t>VÄSTRA GÖTALANDS LÄN</t>
        </is>
      </c>
      <c r="E4919" t="inlineStr">
        <is>
          <t>BENGTSFORS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64350-2023</t>
        </is>
      </c>
      <c r="B4920" s="1" t="n">
        <v>45280</v>
      </c>
      <c r="C4920" s="1" t="n">
        <v>46011</v>
      </c>
      <c r="D4920" t="inlineStr">
        <is>
          <t>VÄSTRA GÖTALANDS LÄN</t>
        </is>
      </c>
      <c r="E4920" t="inlineStr">
        <is>
          <t>GULLSPÅNG</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40511-2025</t>
        </is>
      </c>
      <c r="B4921" s="1" t="n">
        <v>45896</v>
      </c>
      <c r="C4921" s="1" t="n">
        <v>46011</v>
      </c>
      <c r="D4921" t="inlineStr">
        <is>
          <t>VÄSTRA GÖTALANDS LÄN</t>
        </is>
      </c>
      <c r="E4921" t="inlineStr">
        <is>
          <t>BENGTSFORS</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8594-2024</t>
        </is>
      </c>
      <c r="B4922" s="1" t="n">
        <v>45355.64226851852</v>
      </c>
      <c r="C4922" s="1" t="n">
        <v>46011</v>
      </c>
      <c r="D4922" t="inlineStr">
        <is>
          <t>VÄSTRA GÖTALANDS LÄN</t>
        </is>
      </c>
      <c r="E4922" t="inlineStr">
        <is>
          <t>FÄRGELANDA</t>
        </is>
      </c>
      <c r="G4922" t="n">
        <v>12.4</v>
      </c>
      <c r="H4922" t="n">
        <v>0</v>
      </c>
      <c r="I4922" t="n">
        <v>0</v>
      </c>
      <c r="J4922" t="n">
        <v>0</v>
      </c>
      <c r="K4922" t="n">
        <v>0</v>
      </c>
      <c r="L4922" t="n">
        <v>0</v>
      </c>
      <c r="M4922" t="n">
        <v>0</v>
      </c>
      <c r="N4922" t="n">
        <v>0</v>
      </c>
      <c r="O4922" t="n">
        <v>0</v>
      </c>
      <c r="P4922" t="n">
        <v>0</v>
      </c>
      <c r="Q4922" t="n">
        <v>0</v>
      </c>
      <c r="R4922" s="2" t="inlineStr"/>
    </row>
    <row r="4923" ht="15" customHeight="1">
      <c r="A4923" t="inlineStr">
        <is>
          <t>A 48365-2024</t>
        </is>
      </c>
      <c r="B4923" s="1" t="n">
        <v>45590.57652777778</v>
      </c>
      <c r="C4923" s="1" t="n">
        <v>46011</v>
      </c>
      <c r="D4923" t="inlineStr">
        <is>
          <t>VÄSTRA GÖTALANDS LÄN</t>
        </is>
      </c>
      <c r="E4923" t="inlineStr">
        <is>
          <t>STENUNGSUND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27201-2025</t>
        </is>
      </c>
      <c r="B4924" s="1" t="n">
        <v>45812</v>
      </c>
      <c r="C4924" s="1" t="n">
        <v>46011</v>
      </c>
      <c r="D4924" t="inlineStr">
        <is>
          <t>VÄSTRA GÖTALANDS LÄN</t>
        </is>
      </c>
      <c r="E4924" t="inlineStr">
        <is>
          <t>TROLLHÄTTAN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27202-2025</t>
        </is>
      </c>
      <c r="B4925" s="1" t="n">
        <v>45812.39840277778</v>
      </c>
      <c r="C4925" s="1" t="n">
        <v>46011</v>
      </c>
      <c r="D4925" t="inlineStr">
        <is>
          <t>VÄSTRA GÖTALANDS LÄN</t>
        </is>
      </c>
      <c r="E4925" t="inlineStr">
        <is>
          <t>ALINGSÅS</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40650-2025</t>
        </is>
      </c>
      <c r="B4926" s="1" t="n">
        <v>45896.6321875</v>
      </c>
      <c r="C4926" s="1" t="n">
        <v>46011</v>
      </c>
      <c r="D4926" t="inlineStr">
        <is>
          <t>VÄSTRA GÖTALANDS LÄN</t>
        </is>
      </c>
      <c r="E4926" t="inlineStr">
        <is>
          <t>VÅRGÅRDA</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26895-2025</t>
        </is>
      </c>
      <c r="B4927" s="1" t="n">
        <v>45811.33570601852</v>
      </c>
      <c r="C4927" s="1" t="n">
        <v>46011</v>
      </c>
      <c r="D4927" t="inlineStr">
        <is>
          <t>VÄSTRA GÖTALANDS LÄN</t>
        </is>
      </c>
      <c r="E4927" t="inlineStr">
        <is>
          <t>HERRLJUNGA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11817-2025</t>
        </is>
      </c>
      <c r="B4928" s="1" t="n">
        <v>45728.30768518519</v>
      </c>
      <c r="C4928" s="1" t="n">
        <v>46011</v>
      </c>
      <c r="D4928" t="inlineStr">
        <is>
          <t>VÄSTRA GÖTALANDS LÄN</t>
        </is>
      </c>
      <c r="E4928" t="inlineStr">
        <is>
          <t>VÄNERSBORG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11848-2025</t>
        </is>
      </c>
      <c r="B4929" s="1" t="n">
        <v>45728.38061342593</v>
      </c>
      <c r="C4929" s="1" t="n">
        <v>46011</v>
      </c>
      <c r="D4929" t="inlineStr">
        <is>
          <t>VÄSTRA GÖTALANDS LÄN</t>
        </is>
      </c>
      <c r="E4929" t="inlineStr">
        <is>
          <t>MELLERUD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41281-2025</t>
        </is>
      </c>
      <c r="B4930" s="1" t="n">
        <v>45898.63497685185</v>
      </c>
      <c r="C4930" s="1" t="n">
        <v>46011</v>
      </c>
      <c r="D4930" t="inlineStr">
        <is>
          <t>VÄSTRA GÖTALANDS LÄN</t>
        </is>
      </c>
      <c r="E4930" t="inlineStr">
        <is>
          <t>VARA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57410-2022</t>
        </is>
      </c>
      <c r="B4931" s="1" t="n">
        <v>44896</v>
      </c>
      <c r="C4931" s="1" t="n">
        <v>46011</v>
      </c>
      <c r="D4931" t="inlineStr">
        <is>
          <t>VÄSTRA GÖTALANDS LÄN</t>
        </is>
      </c>
      <c r="E4931" t="inlineStr">
        <is>
          <t>TJÖRN</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63004-2023</t>
        </is>
      </c>
      <c r="B4932" s="1" t="n">
        <v>45272</v>
      </c>
      <c r="C4932" s="1" t="n">
        <v>46011</v>
      </c>
      <c r="D4932" t="inlineStr">
        <is>
          <t>VÄSTRA GÖTALANDS LÄN</t>
        </is>
      </c>
      <c r="E4932" t="inlineStr">
        <is>
          <t>TANUM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27381-2025</t>
        </is>
      </c>
      <c r="B4933" s="1" t="n">
        <v>45812</v>
      </c>
      <c r="C4933" s="1" t="n">
        <v>46011</v>
      </c>
      <c r="D4933" t="inlineStr">
        <is>
          <t>VÄSTRA GÖTALANDS LÄN</t>
        </is>
      </c>
      <c r="E4933" t="inlineStr">
        <is>
          <t>BORÅS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40753-2025</t>
        </is>
      </c>
      <c r="B4934" s="1" t="n">
        <v>45897</v>
      </c>
      <c r="C4934" s="1" t="n">
        <v>46011</v>
      </c>
      <c r="D4934" t="inlineStr">
        <is>
          <t>VÄSTRA GÖTALANDS LÄN</t>
        </is>
      </c>
      <c r="E4934" t="inlineStr">
        <is>
          <t>BENGTSFORS</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63039-2023</t>
        </is>
      </c>
      <c r="B4935" s="1" t="n">
        <v>45272</v>
      </c>
      <c r="C4935" s="1" t="n">
        <v>46011</v>
      </c>
      <c r="D4935" t="inlineStr">
        <is>
          <t>VÄSTRA GÖTALANDS LÄN</t>
        </is>
      </c>
      <c r="E4935" t="inlineStr">
        <is>
          <t>GULLSPÅNG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3074-2023</t>
        </is>
      </c>
      <c r="B4936" s="1" t="n">
        <v>44946</v>
      </c>
      <c r="C4936" s="1" t="n">
        <v>46011</v>
      </c>
      <c r="D4936" t="inlineStr">
        <is>
          <t>VÄSTRA GÖTALANDS LÄN</t>
        </is>
      </c>
      <c r="E4936" t="inlineStr">
        <is>
          <t>TROLLHÄTTAN</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27054-2025</t>
        </is>
      </c>
      <c r="B4937" s="1" t="n">
        <v>45811.62824074074</v>
      </c>
      <c r="C4937" s="1" t="n">
        <v>46011</v>
      </c>
      <c r="D4937" t="inlineStr">
        <is>
          <t>VÄSTRA GÖTALANDS LÄN</t>
        </is>
      </c>
      <c r="E4937" t="inlineStr">
        <is>
          <t>FÄRGELANDA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40952-2025</t>
        </is>
      </c>
      <c r="B4938" s="1" t="n">
        <v>45897.66349537037</v>
      </c>
      <c r="C4938" s="1" t="n">
        <v>46011</v>
      </c>
      <c r="D4938" t="inlineStr">
        <is>
          <t>VÄSTRA GÖTALANDS LÄN</t>
        </is>
      </c>
      <c r="E4938" t="inlineStr">
        <is>
          <t>MARIESTAD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36532-2024</t>
        </is>
      </c>
      <c r="B4939" s="1" t="n">
        <v>45537.44701388889</v>
      </c>
      <c r="C4939" s="1" t="n">
        <v>46011</v>
      </c>
      <c r="D4939" t="inlineStr">
        <is>
          <t>VÄSTRA GÖTALANDS LÄN</t>
        </is>
      </c>
      <c r="E4939" t="inlineStr">
        <is>
          <t>BOLLEBYGD</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40989-2025</t>
        </is>
      </c>
      <c r="B4940" s="1" t="n">
        <v>45898.31863425926</v>
      </c>
      <c r="C4940" s="1" t="n">
        <v>46011</v>
      </c>
      <c r="D4940" t="inlineStr">
        <is>
          <t>VÄSTRA GÖTALANDS LÄN</t>
        </is>
      </c>
      <c r="E4940" t="inlineStr">
        <is>
          <t>TIDAHOLM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27222-2025</t>
        </is>
      </c>
      <c r="B4941" s="1" t="n">
        <v>45812.42443287037</v>
      </c>
      <c r="C4941" s="1" t="n">
        <v>46011</v>
      </c>
      <c r="D4941" t="inlineStr">
        <is>
          <t>VÄSTRA GÖTALANDS LÄN</t>
        </is>
      </c>
      <c r="E4941" t="inlineStr">
        <is>
          <t>LILLA EDET</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27356-2025</t>
        </is>
      </c>
      <c r="B4942" s="1" t="n">
        <v>45812.63560185185</v>
      </c>
      <c r="C4942" s="1" t="n">
        <v>46011</v>
      </c>
      <c r="D4942" t="inlineStr">
        <is>
          <t>VÄSTRA GÖTALANDS LÄN</t>
        </is>
      </c>
      <c r="E4942" t="inlineStr">
        <is>
          <t>BORÅS</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16400-2023</t>
        </is>
      </c>
      <c r="B4943" s="1" t="n">
        <v>45029</v>
      </c>
      <c r="C4943" s="1" t="n">
        <v>46011</v>
      </c>
      <c r="D4943" t="inlineStr">
        <is>
          <t>VÄSTRA GÖTALANDS LÄN</t>
        </is>
      </c>
      <c r="E4943" t="inlineStr">
        <is>
          <t>TANUM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45268-2021</t>
        </is>
      </c>
      <c r="B4944" s="1" t="n">
        <v>44439</v>
      </c>
      <c r="C4944" s="1" t="n">
        <v>46011</v>
      </c>
      <c r="D4944" t="inlineStr">
        <is>
          <t>VÄSTRA GÖTALANDS LÄN</t>
        </is>
      </c>
      <c r="E4944" t="inlineStr">
        <is>
          <t>FÄRGELANDA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33522-2024</t>
        </is>
      </c>
      <c r="B4945" s="1" t="n">
        <v>45519</v>
      </c>
      <c r="C4945" s="1" t="n">
        <v>46011</v>
      </c>
      <c r="D4945" t="inlineStr">
        <is>
          <t>VÄSTRA GÖTALANDS LÄN</t>
        </is>
      </c>
      <c r="E4945" t="inlineStr">
        <is>
          <t>TIBRO</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40821-2025</t>
        </is>
      </c>
      <c r="B4946" s="1" t="n">
        <v>45897.49334490741</v>
      </c>
      <c r="C4946" s="1" t="n">
        <v>46011</v>
      </c>
      <c r="D4946" t="inlineStr">
        <is>
          <t>VÄSTRA GÖTALANDS LÄN</t>
        </is>
      </c>
      <c r="E4946" t="inlineStr">
        <is>
          <t>BENGTSFORS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40885-2025</t>
        </is>
      </c>
      <c r="B4947" s="1" t="n">
        <v>45897.6021412037</v>
      </c>
      <c r="C4947" s="1" t="n">
        <v>46011</v>
      </c>
      <c r="D4947" t="inlineStr">
        <is>
          <t>VÄSTRA GÖTALANDS LÄN</t>
        </is>
      </c>
      <c r="E4947" t="inlineStr">
        <is>
          <t>TRANEMO</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40889-2025</t>
        </is>
      </c>
      <c r="B4948" s="1" t="n">
        <v>45897.60502314815</v>
      </c>
      <c r="C4948" s="1" t="n">
        <v>46011</v>
      </c>
      <c r="D4948" t="inlineStr">
        <is>
          <t>VÄSTRA GÖTALANDS LÄN</t>
        </is>
      </c>
      <c r="E4948" t="inlineStr">
        <is>
          <t>TRANEMO</t>
        </is>
      </c>
      <c r="F4948" t="inlineStr">
        <is>
          <t>Sveaskog</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9159-2024</t>
        </is>
      </c>
      <c r="B4949" s="1" t="n">
        <v>45358.39443287037</v>
      </c>
      <c r="C4949" s="1" t="n">
        <v>46011</v>
      </c>
      <c r="D4949" t="inlineStr">
        <is>
          <t>VÄSTRA GÖTALANDS LÄN</t>
        </is>
      </c>
      <c r="E4949" t="inlineStr">
        <is>
          <t>BOLLEBYGD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1051-2023</t>
        </is>
      </c>
      <c r="B4950" s="1" t="n">
        <v>44935</v>
      </c>
      <c r="C4950" s="1" t="n">
        <v>46011</v>
      </c>
      <c r="D4950" t="inlineStr">
        <is>
          <t>VÄSTRA GÖTALANDS LÄN</t>
        </is>
      </c>
      <c r="E4950" t="inlineStr">
        <is>
          <t>UDDEVALLA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40939-2025</t>
        </is>
      </c>
      <c r="B4951" s="1" t="n">
        <v>45897.65413194444</v>
      </c>
      <c r="C4951" s="1" t="n">
        <v>46011</v>
      </c>
      <c r="D4951" t="inlineStr">
        <is>
          <t>VÄSTRA GÖTALANDS LÄN</t>
        </is>
      </c>
      <c r="E4951" t="inlineStr">
        <is>
          <t>HERRLJUNGA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40942-2025</t>
        </is>
      </c>
      <c r="B4952" s="1" t="n">
        <v>45897.65601851852</v>
      </c>
      <c r="C4952" s="1" t="n">
        <v>46011</v>
      </c>
      <c r="D4952" t="inlineStr">
        <is>
          <t>VÄSTRA GÖTALANDS LÄN</t>
        </is>
      </c>
      <c r="E4952" t="inlineStr">
        <is>
          <t>HERRLJUNGA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40944-2025</t>
        </is>
      </c>
      <c r="B4953" s="1" t="n">
        <v>45897.65775462963</v>
      </c>
      <c r="C4953" s="1" t="n">
        <v>46011</v>
      </c>
      <c r="D4953" t="inlineStr">
        <is>
          <t>VÄSTRA GÖTALANDS LÄN</t>
        </is>
      </c>
      <c r="E4953" t="inlineStr">
        <is>
          <t>HERRLJUNGA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1108-2023</t>
        </is>
      </c>
      <c r="B4954" s="1" t="n">
        <v>44935.59246527778</v>
      </c>
      <c r="C4954" s="1" t="n">
        <v>46011</v>
      </c>
      <c r="D4954" t="inlineStr">
        <is>
          <t>VÄSTRA GÖTALANDS LÄN</t>
        </is>
      </c>
      <c r="E4954" t="inlineStr">
        <is>
          <t>HJO</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27586-2025</t>
        </is>
      </c>
      <c r="B4955" s="1" t="n">
        <v>45813.50425925926</v>
      </c>
      <c r="C4955" s="1" t="n">
        <v>46011</v>
      </c>
      <c r="D4955" t="inlineStr">
        <is>
          <t>VÄSTRA GÖTALANDS LÄN</t>
        </is>
      </c>
      <c r="E4955" t="inlineStr">
        <is>
          <t>TRANEMO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25867-2025</t>
        </is>
      </c>
      <c r="B4956" s="1" t="n">
        <v>45804.48175925926</v>
      </c>
      <c r="C4956" s="1" t="n">
        <v>46011</v>
      </c>
      <c r="D4956" t="inlineStr">
        <is>
          <t>VÄSTRA GÖTALANDS LÄN</t>
        </is>
      </c>
      <c r="E4956" t="inlineStr">
        <is>
          <t>DALS-ED</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7725-2024</t>
        </is>
      </c>
      <c r="B4957" s="1" t="n">
        <v>45349</v>
      </c>
      <c r="C4957" s="1" t="n">
        <v>46011</v>
      </c>
      <c r="D4957" t="inlineStr">
        <is>
          <t>VÄSTRA GÖTALANDS LÄN</t>
        </is>
      </c>
      <c r="E4957" t="inlineStr">
        <is>
          <t>UDDEVALLA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37955-2024</t>
        </is>
      </c>
      <c r="B4958" s="1" t="n">
        <v>45544.52680555556</v>
      </c>
      <c r="C4958" s="1" t="n">
        <v>46011</v>
      </c>
      <c r="D4958" t="inlineStr">
        <is>
          <t>VÄSTRA GÖTALANDS LÄN</t>
        </is>
      </c>
      <c r="E4958" t="inlineStr">
        <is>
          <t>TANUM</t>
        </is>
      </c>
      <c r="G4958" t="n">
        <v>11.3</v>
      </c>
      <c r="H4958" t="n">
        <v>0</v>
      </c>
      <c r="I4958" t="n">
        <v>0</v>
      </c>
      <c r="J4958" t="n">
        <v>0</v>
      </c>
      <c r="K4958" t="n">
        <v>0</v>
      </c>
      <c r="L4958" t="n">
        <v>0</v>
      </c>
      <c r="M4958" t="n">
        <v>0</v>
      </c>
      <c r="N4958" t="n">
        <v>0</v>
      </c>
      <c r="O4958" t="n">
        <v>0</v>
      </c>
      <c r="P4958" t="n">
        <v>0</v>
      </c>
      <c r="Q4958" t="n">
        <v>0</v>
      </c>
      <c r="R4958" s="2" t="inlineStr"/>
    </row>
    <row r="4959" ht="15" customHeight="1">
      <c r="A4959" t="inlineStr">
        <is>
          <t>A 7050-2022</t>
        </is>
      </c>
      <c r="B4959" s="1" t="n">
        <v>44603</v>
      </c>
      <c r="C4959" s="1" t="n">
        <v>46011</v>
      </c>
      <c r="D4959" t="inlineStr">
        <is>
          <t>VÄSTRA GÖTALANDS LÄN</t>
        </is>
      </c>
      <c r="E4959" t="inlineStr">
        <is>
          <t>MARK</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27620-2025</t>
        </is>
      </c>
      <c r="B4960" s="1" t="n">
        <v>45813.54954861111</v>
      </c>
      <c r="C4960" s="1" t="n">
        <v>46011</v>
      </c>
      <c r="D4960" t="inlineStr">
        <is>
          <t>VÄSTRA GÖTALANDS LÄN</t>
        </is>
      </c>
      <c r="E4960" t="inlineStr">
        <is>
          <t>LILLA EDET</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1795-2021</t>
        </is>
      </c>
      <c r="B4961" s="1" t="n">
        <v>44210</v>
      </c>
      <c r="C4961" s="1" t="n">
        <v>46011</v>
      </c>
      <c r="D4961" t="inlineStr">
        <is>
          <t>VÄSTRA GÖTALANDS LÄN</t>
        </is>
      </c>
      <c r="E4961" t="inlineStr">
        <is>
          <t>MARIESTAD</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40965-2025</t>
        </is>
      </c>
      <c r="B4962" s="1" t="n">
        <v>45897.75951388889</v>
      </c>
      <c r="C4962" s="1" t="n">
        <v>46011</v>
      </c>
      <c r="D4962" t="inlineStr">
        <is>
          <t>VÄSTRA GÖTALANDS LÄN</t>
        </is>
      </c>
      <c r="E4962" t="inlineStr">
        <is>
          <t>MARK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38903-2024</t>
        </is>
      </c>
      <c r="B4963" s="1" t="n">
        <v>45547</v>
      </c>
      <c r="C4963" s="1" t="n">
        <v>46011</v>
      </c>
      <c r="D4963" t="inlineStr">
        <is>
          <t>VÄSTRA GÖTALANDS LÄN</t>
        </is>
      </c>
      <c r="E4963" t="inlineStr">
        <is>
          <t>SKÖVDE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39845-2024</t>
        </is>
      </c>
      <c r="B4964" s="1" t="n">
        <v>45553.4275</v>
      </c>
      <c r="C4964" s="1" t="n">
        <v>46011</v>
      </c>
      <c r="D4964" t="inlineStr">
        <is>
          <t>VÄSTRA GÖTALANDS LÄN</t>
        </is>
      </c>
      <c r="E4964" t="inlineStr">
        <is>
          <t>ULRICEHAMN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39849-2024</t>
        </is>
      </c>
      <c r="B4965" s="1" t="n">
        <v>45553.42861111111</v>
      </c>
      <c r="C4965" s="1" t="n">
        <v>46011</v>
      </c>
      <c r="D4965" t="inlineStr">
        <is>
          <t>VÄSTRA GÖTALANDS LÄN</t>
        </is>
      </c>
      <c r="E4965" t="inlineStr">
        <is>
          <t>ULRICEHAMN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41039-2025</t>
        </is>
      </c>
      <c r="B4966" s="1" t="n">
        <v>45898.39010416667</v>
      </c>
      <c r="C4966" s="1" t="n">
        <v>46011</v>
      </c>
      <c r="D4966" t="inlineStr">
        <is>
          <t>VÄSTRA GÖTALANDS LÄN</t>
        </is>
      </c>
      <c r="E4966" t="inlineStr">
        <is>
          <t>LIDKÖPING</t>
        </is>
      </c>
      <c r="F4966" t="inlineStr">
        <is>
          <t>Kommuner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335-2025</t>
        </is>
      </c>
      <c r="B4967" s="1" t="n">
        <v>45660.67505787037</v>
      </c>
      <c r="C4967" s="1" t="n">
        <v>46011</v>
      </c>
      <c r="D4967" t="inlineStr">
        <is>
          <t>VÄSTRA GÖTALANDS LÄN</t>
        </is>
      </c>
      <c r="E4967" t="inlineStr">
        <is>
          <t>ÅMÅL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27655-2025</t>
        </is>
      </c>
      <c r="B4968" s="1" t="n">
        <v>45813.60436342593</v>
      </c>
      <c r="C4968" s="1" t="n">
        <v>46011</v>
      </c>
      <c r="D4968" t="inlineStr">
        <is>
          <t>VÄSTRA GÖTALANDS LÄN</t>
        </is>
      </c>
      <c r="E4968" t="inlineStr">
        <is>
          <t>ULRICEHAMN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40687-2025</t>
        </is>
      </c>
      <c r="B4969" s="1" t="n">
        <v>45896.87452546296</v>
      </c>
      <c r="C4969" s="1" t="n">
        <v>46011</v>
      </c>
      <c r="D4969" t="inlineStr">
        <is>
          <t>VÄSTRA GÖTALANDS LÄN</t>
        </is>
      </c>
      <c r="E4969" t="inlineStr">
        <is>
          <t>TIBRO</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41162-2025</t>
        </is>
      </c>
      <c r="B4970" s="1" t="n">
        <v>45898.53216435185</v>
      </c>
      <c r="C4970" s="1" t="n">
        <v>46011</v>
      </c>
      <c r="D4970" t="inlineStr">
        <is>
          <t>VÄSTRA GÖTALANDS LÄN</t>
        </is>
      </c>
      <c r="E4970" t="inlineStr">
        <is>
          <t>MARK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39514-2024</t>
        </is>
      </c>
      <c r="B4971" s="1" t="n">
        <v>45551.69674768519</v>
      </c>
      <c r="C4971" s="1" t="n">
        <v>46011</v>
      </c>
      <c r="D4971" t="inlineStr">
        <is>
          <t>VÄSTRA GÖTALANDS LÄN</t>
        </is>
      </c>
      <c r="E4971" t="inlineStr">
        <is>
          <t>FALKÖPING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2570-2023</t>
        </is>
      </c>
      <c r="B4972" s="1" t="n">
        <v>44943</v>
      </c>
      <c r="C4972" s="1" t="n">
        <v>46011</v>
      </c>
      <c r="D4972" t="inlineStr">
        <is>
          <t>VÄSTRA GÖTALANDS LÄN</t>
        </is>
      </c>
      <c r="E4972" t="inlineStr">
        <is>
          <t>BENGTSFORS</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27585-2025</t>
        </is>
      </c>
      <c r="B4973" s="1" t="n">
        <v>45813.50371527778</v>
      </c>
      <c r="C4973" s="1" t="n">
        <v>46011</v>
      </c>
      <c r="D4973" t="inlineStr">
        <is>
          <t>VÄSTRA GÖTALANDS LÄN</t>
        </is>
      </c>
      <c r="E4973" t="inlineStr">
        <is>
          <t>VÅRGÅRDA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17892-2025</t>
        </is>
      </c>
      <c r="B4974" s="1" t="n">
        <v>45758.68318287037</v>
      </c>
      <c r="C4974" s="1" t="n">
        <v>46011</v>
      </c>
      <c r="D4974" t="inlineStr">
        <is>
          <t>VÄSTRA GÖTALANDS LÄN</t>
        </is>
      </c>
      <c r="E4974" t="inlineStr">
        <is>
          <t>LIDKÖPING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13119-2023</t>
        </is>
      </c>
      <c r="B4975" s="1" t="n">
        <v>45002</v>
      </c>
      <c r="C4975" s="1" t="n">
        <v>46011</v>
      </c>
      <c r="D4975" t="inlineStr">
        <is>
          <t>VÄSTRA GÖTALANDS LÄN</t>
        </is>
      </c>
      <c r="E4975" t="inlineStr">
        <is>
          <t>TROLLHÄTTAN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40603-2024</t>
        </is>
      </c>
      <c r="B4976" s="1" t="n">
        <v>45556.4603125</v>
      </c>
      <c r="C4976" s="1" t="n">
        <v>46011</v>
      </c>
      <c r="D4976" t="inlineStr">
        <is>
          <t>VÄSTRA GÖTALANDS LÄN</t>
        </is>
      </c>
      <c r="E4976" t="inlineStr">
        <is>
          <t>TIDAHOLM</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9084-2025</t>
        </is>
      </c>
      <c r="B4977" s="1" t="n">
        <v>45713.6675</v>
      </c>
      <c r="C4977" s="1" t="n">
        <v>46011</v>
      </c>
      <c r="D4977" t="inlineStr">
        <is>
          <t>VÄSTRA GÖTALANDS LÄN</t>
        </is>
      </c>
      <c r="E4977" t="inlineStr">
        <is>
          <t>TANUM</t>
        </is>
      </c>
      <c r="G4977" t="n">
        <v>12.7</v>
      </c>
      <c r="H4977" t="n">
        <v>0</v>
      </c>
      <c r="I4977" t="n">
        <v>0</v>
      </c>
      <c r="J4977" t="n">
        <v>0</v>
      </c>
      <c r="K4977" t="n">
        <v>0</v>
      </c>
      <c r="L4977" t="n">
        <v>0</v>
      </c>
      <c r="M4977" t="n">
        <v>0</v>
      </c>
      <c r="N4977" t="n">
        <v>0</v>
      </c>
      <c r="O4977" t="n">
        <v>0</v>
      </c>
      <c r="P4977" t="n">
        <v>0</v>
      </c>
      <c r="Q4977" t="n">
        <v>0</v>
      </c>
      <c r="R4977" s="2" t="inlineStr"/>
    </row>
    <row r="4978" ht="15" customHeight="1">
      <c r="A4978" t="inlineStr">
        <is>
          <t>A 59076-2024</t>
        </is>
      </c>
      <c r="B4978" s="1" t="n">
        <v>45637</v>
      </c>
      <c r="C4978" s="1" t="n">
        <v>46011</v>
      </c>
      <c r="D4978" t="inlineStr">
        <is>
          <t>VÄSTRA GÖTALANDS LÄN</t>
        </is>
      </c>
      <c r="E4978" t="inlineStr">
        <is>
          <t>ULRICEHAMN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12501-2025</t>
        </is>
      </c>
      <c r="B4979" s="1" t="n">
        <v>45730.61782407408</v>
      </c>
      <c r="C4979" s="1" t="n">
        <v>46011</v>
      </c>
      <c r="D4979" t="inlineStr">
        <is>
          <t>VÄSTRA GÖTALANDS LÄN</t>
        </is>
      </c>
      <c r="E4979" t="inlineStr">
        <is>
          <t>MELLERUD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41089-2025</t>
        </is>
      </c>
      <c r="B4980" s="1" t="n">
        <v>45898.43731481482</v>
      </c>
      <c r="C4980" s="1" t="n">
        <v>46011</v>
      </c>
      <c r="D4980" t="inlineStr">
        <is>
          <t>VÄSTRA GÖTALANDS LÄN</t>
        </is>
      </c>
      <c r="E4980" t="inlineStr">
        <is>
          <t>SVENLJUNGA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41063-2025</t>
        </is>
      </c>
      <c r="B4981" s="1" t="n">
        <v>45898</v>
      </c>
      <c r="C4981" s="1" t="n">
        <v>46011</v>
      </c>
      <c r="D4981" t="inlineStr">
        <is>
          <t>VÄSTRA GÖTALANDS LÄN</t>
        </is>
      </c>
      <c r="E4981" t="inlineStr">
        <is>
          <t>ORUST</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41076-2025</t>
        </is>
      </c>
      <c r="B4982" s="1" t="n">
        <v>45898.42581018519</v>
      </c>
      <c r="C4982" s="1" t="n">
        <v>46011</v>
      </c>
      <c r="D4982" t="inlineStr">
        <is>
          <t>VÄSTRA GÖTALANDS LÄN</t>
        </is>
      </c>
      <c r="E4982" t="inlineStr">
        <is>
          <t>SVENLJUNGA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27683-2025</t>
        </is>
      </c>
      <c r="B4983" s="1" t="n">
        <v>45813.64798611111</v>
      </c>
      <c r="C4983" s="1" t="n">
        <v>46011</v>
      </c>
      <c r="D4983" t="inlineStr">
        <is>
          <t>VÄSTRA GÖTALANDS LÄN</t>
        </is>
      </c>
      <c r="E4983" t="inlineStr">
        <is>
          <t>MARK</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27429-2025</t>
        </is>
      </c>
      <c r="B4984" s="1" t="n">
        <v>45813.29658564815</v>
      </c>
      <c r="C4984" s="1" t="n">
        <v>46011</v>
      </c>
      <c r="D4984" t="inlineStr">
        <is>
          <t>VÄSTRA GÖTALANDS LÄN</t>
        </is>
      </c>
      <c r="E4984" t="inlineStr">
        <is>
          <t>TÖREBODA</t>
        </is>
      </c>
      <c r="F4984" t="inlineStr">
        <is>
          <t>Sveaskog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40932-2025</t>
        </is>
      </c>
      <c r="B4985" s="1" t="n">
        <v>45897.64824074074</v>
      </c>
      <c r="C4985" s="1" t="n">
        <v>46011</v>
      </c>
      <c r="D4985" t="inlineStr">
        <is>
          <t>VÄSTRA GÖTALANDS LÄN</t>
        </is>
      </c>
      <c r="E4985" t="inlineStr">
        <is>
          <t>HERRLJUNGA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40935-2025</t>
        </is>
      </c>
      <c r="B4986" s="1" t="n">
        <v>45897.64988425926</v>
      </c>
      <c r="C4986" s="1" t="n">
        <v>46011</v>
      </c>
      <c r="D4986" t="inlineStr">
        <is>
          <t>VÄSTRA GÖTALANDS LÄN</t>
        </is>
      </c>
      <c r="E4986" t="inlineStr">
        <is>
          <t>HERRLJUNGA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40938-2025</t>
        </is>
      </c>
      <c r="B4987" s="1" t="n">
        <v>45897.65219907407</v>
      </c>
      <c r="C4987" s="1" t="n">
        <v>46011</v>
      </c>
      <c r="D4987" t="inlineStr">
        <is>
          <t>VÄSTRA GÖTALANDS LÄN</t>
        </is>
      </c>
      <c r="E4987" t="inlineStr">
        <is>
          <t>HERRLJUNGA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15334-2024</t>
        </is>
      </c>
      <c r="B4988" s="1" t="n">
        <v>45400.73114583334</v>
      </c>
      <c r="C4988" s="1" t="n">
        <v>46011</v>
      </c>
      <c r="D4988" t="inlineStr">
        <is>
          <t>VÄSTRA GÖTALANDS LÄN</t>
        </is>
      </c>
      <c r="E4988" t="inlineStr">
        <is>
          <t>UDDEVALLA</t>
        </is>
      </c>
      <c r="F4988" t="inlineStr">
        <is>
          <t>Kyrkan</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11021-2022</t>
        </is>
      </c>
      <c r="B4989" s="1" t="n">
        <v>44628.55136574074</v>
      </c>
      <c r="C4989" s="1" t="n">
        <v>46011</v>
      </c>
      <c r="D4989" t="inlineStr">
        <is>
          <t>VÄSTRA GÖTALANDS LÄN</t>
        </is>
      </c>
      <c r="E4989" t="inlineStr">
        <is>
          <t>BOLLEBYGD</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27717-2025</t>
        </is>
      </c>
      <c r="B4990" s="1" t="n">
        <v>45814.28092592592</v>
      </c>
      <c r="C4990" s="1" t="n">
        <v>46011</v>
      </c>
      <c r="D4990" t="inlineStr">
        <is>
          <t>VÄSTRA GÖTALANDS LÄN</t>
        </is>
      </c>
      <c r="E4990" t="inlineStr">
        <is>
          <t>TIDAHOLM</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5988-2023</t>
        </is>
      </c>
      <c r="B4991" s="1" t="n">
        <v>44964.37417824074</v>
      </c>
      <c r="C4991" s="1" t="n">
        <v>46011</v>
      </c>
      <c r="D4991" t="inlineStr">
        <is>
          <t>VÄSTRA GÖTALANDS LÄN</t>
        </is>
      </c>
      <c r="E4991" t="inlineStr">
        <is>
          <t>SVENLJUNGA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40844-2025</t>
        </is>
      </c>
      <c r="B4992" s="1" t="n">
        <v>45897.53482638889</v>
      </c>
      <c r="C4992" s="1" t="n">
        <v>46011</v>
      </c>
      <c r="D4992" t="inlineStr">
        <is>
          <t>VÄSTRA GÖTALANDS LÄN</t>
        </is>
      </c>
      <c r="E4992" t="inlineStr">
        <is>
          <t>VÄNERSBORG</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40848-2025</t>
        </is>
      </c>
      <c r="B4993" s="1" t="n">
        <v>45897</v>
      </c>
      <c r="C4993" s="1" t="n">
        <v>46011</v>
      </c>
      <c r="D4993" t="inlineStr">
        <is>
          <t>VÄSTRA GÖTALANDS LÄN</t>
        </is>
      </c>
      <c r="E4993" t="inlineStr">
        <is>
          <t>LERUM</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27733-2025</t>
        </is>
      </c>
      <c r="B4994" s="1" t="n">
        <v>45814.74278935185</v>
      </c>
      <c r="C4994" s="1" t="n">
        <v>46011</v>
      </c>
      <c r="D4994" t="inlineStr">
        <is>
          <t>VÄSTRA GÖTALANDS LÄN</t>
        </is>
      </c>
      <c r="E4994" t="inlineStr">
        <is>
          <t>ULRICEHAMN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41278-2025</t>
        </is>
      </c>
      <c r="B4995" s="1" t="n">
        <v>45898.62895833333</v>
      </c>
      <c r="C4995" s="1" t="n">
        <v>46011</v>
      </c>
      <c r="D4995" t="inlineStr">
        <is>
          <t>VÄSTRA GÖTALANDS LÄN</t>
        </is>
      </c>
      <c r="E4995" t="inlineStr">
        <is>
          <t>VARA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62516-2022</t>
        </is>
      </c>
      <c r="B4996" s="1" t="n">
        <v>44924.61912037037</v>
      </c>
      <c r="C4996" s="1" t="n">
        <v>46011</v>
      </c>
      <c r="D4996" t="inlineStr">
        <is>
          <t>VÄSTRA GÖTALANDS LÄN</t>
        </is>
      </c>
      <c r="E4996" t="inlineStr">
        <is>
          <t>ORUST</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62521-2022</t>
        </is>
      </c>
      <c r="B4997" s="1" t="n">
        <v>44924.63210648148</v>
      </c>
      <c r="C4997" s="1" t="n">
        <v>46011</v>
      </c>
      <c r="D4997" t="inlineStr">
        <is>
          <t>VÄSTRA GÖTALANDS LÄN</t>
        </is>
      </c>
      <c r="E4997" t="inlineStr">
        <is>
          <t>TÖREBODA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62573-2022</t>
        </is>
      </c>
      <c r="B4998" s="1" t="n">
        <v>44924.82454861111</v>
      </c>
      <c r="C4998" s="1" t="n">
        <v>46011</v>
      </c>
      <c r="D4998" t="inlineStr">
        <is>
          <t>VÄSTRA GÖTALANDS LÄN</t>
        </is>
      </c>
      <c r="E4998" t="inlineStr">
        <is>
          <t>MARK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31259-2025</t>
        </is>
      </c>
      <c r="B4999" s="1" t="n">
        <v>45833.32277777778</v>
      </c>
      <c r="C4999" s="1" t="n">
        <v>46011</v>
      </c>
      <c r="D4999" t="inlineStr">
        <is>
          <t>VÄSTRA GÖTALANDS LÄN</t>
        </is>
      </c>
      <c r="E4999" t="inlineStr">
        <is>
          <t>DALS-ED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27724-2025</t>
        </is>
      </c>
      <c r="B5000" s="1" t="n">
        <v>45814.42583333333</v>
      </c>
      <c r="C5000" s="1" t="n">
        <v>46011</v>
      </c>
      <c r="D5000" t="inlineStr">
        <is>
          <t>VÄSTRA GÖTALANDS LÄN</t>
        </is>
      </c>
      <c r="E5000" t="inlineStr">
        <is>
          <t>SVENLJUNGA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41130-2025</t>
        </is>
      </c>
      <c r="B5001" s="1" t="n">
        <v>45898</v>
      </c>
      <c r="C5001" s="1" t="n">
        <v>46011</v>
      </c>
      <c r="D5001" t="inlineStr">
        <is>
          <t>VÄSTRA GÖTALANDS LÄN</t>
        </is>
      </c>
      <c r="E5001" t="inlineStr">
        <is>
          <t>TIBRO</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40682-2025</t>
        </is>
      </c>
      <c r="B5002" s="1" t="n">
        <v>45896.85864583333</v>
      </c>
      <c r="C5002" s="1" t="n">
        <v>46011</v>
      </c>
      <c r="D5002" t="inlineStr">
        <is>
          <t>VÄSTRA GÖTALANDS LÄN</t>
        </is>
      </c>
      <c r="E5002" t="inlineStr">
        <is>
          <t>TROLLHÄTTAN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40685-2025</t>
        </is>
      </c>
      <c r="B5003" s="1" t="n">
        <v>45896.87293981481</v>
      </c>
      <c r="C5003" s="1" t="n">
        <v>46011</v>
      </c>
      <c r="D5003" t="inlineStr">
        <is>
          <t>VÄSTRA GÖTALANDS LÄN</t>
        </is>
      </c>
      <c r="E5003" t="inlineStr">
        <is>
          <t>TIBRO</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40686-2025</t>
        </is>
      </c>
      <c r="B5004" s="1" t="n">
        <v>45896.87371527778</v>
      </c>
      <c r="C5004" s="1" t="n">
        <v>46011</v>
      </c>
      <c r="D5004" t="inlineStr">
        <is>
          <t>VÄSTRA GÖTALANDS LÄN</t>
        </is>
      </c>
      <c r="E5004" t="inlineStr">
        <is>
          <t>TIBRO</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40652-2024</t>
        </is>
      </c>
      <c r="B5005" s="1" t="n">
        <v>45557</v>
      </c>
      <c r="C5005" s="1" t="n">
        <v>46011</v>
      </c>
      <c r="D5005" t="inlineStr">
        <is>
          <t>VÄSTRA GÖTALANDS LÄN</t>
        </is>
      </c>
      <c r="E5005" t="inlineStr">
        <is>
          <t>STRÖMSTAD</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40681-2025</t>
        </is>
      </c>
      <c r="B5006" s="1" t="n">
        <v>45896.85623842593</v>
      </c>
      <c r="C5006" s="1" t="n">
        <v>46011</v>
      </c>
      <c r="D5006" t="inlineStr">
        <is>
          <t>VÄSTRA GÖTALANDS LÄN</t>
        </is>
      </c>
      <c r="E5006" t="inlineStr">
        <is>
          <t>ORUST</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21738-2023</t>
        </is>
      </c>
      <c r="B5007" s="1" t="n">
        <v>45063</v>
      </c>
      <c r="C5007" s="1" t="n">
        <v>46011</v>
      </c>
      <c r="D5007" t="inlineStr">
        <is>
          <t>VÄSTRA GÖTALANDS LÄN</t>
        </is>
      </c>
      <c r="E5007" t="inlineStr">
        <is>
          <t>TIBRO</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27555-2025</t>
        </is>
      </c>
      <c r="B5008" s="1" t="n">
        <v>45813.47424768518</v>
      </c>
      <c r="C5008" s="1" t="n">
        <v>46011</v>
      </c>
      <c r="D5008" t="inlineStr">
        <is>
          <t>VÄSTRA GÖTALANDS LÄN</t>
        </is>
      </c>
      <c r="E5008" t="inlineStr">
        <is>
          <t>ORUST</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40707-2025</t>
        </is>
      </c>
      <c r="B5009" s="1" t="n">
        <v>45897.3319675926</v>
      </c>
      <c r="C5009" s="1" t="n">
        <v>46011</v>
      </c>
      <c r="D5009" t="inlineStr">
        <is>
          <t>VÄSTRA GÖTALANDS LÄN</t>
        </is>
      </c>
      <c r="E5009" t="inlineStr">
        <is>
          <t>MUNKEDAL</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27513-2025</t>
        </is>
      </c>
      <c r="B5010" s="1" t="n">
        <v>45813.42880787037</v>
      </c>
      <c r="C5010" s="1" t="n">
        <v>46011</v>
      </c>
      <c r="D5010" t="inlineStr">
        <is>
          <t>VÄSTRA GÖTALANDS LÄN</t>
        </is>
      </c>
      <c r="E5010" t="inlineStr">
        <is>
          <t>HÄRRYDA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40739-2025</t>
        </is>
      </c>
      <c r="B5011" s="1" t="n">
        <v>45897.36733796296</v>
      </c>
      <c r="C5011" s="1" t="n">
        <v>46011</v>
      </c>
      <c r="D5011" t="inlineStr">
        <is>
          <t>VÄSTRA GÖTALANDS LÄN</t>
        </is>
      </c>
      <c r="E5011" t="inlineStr">
        <is>
          <t>BENGTSFORS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40774-2025</t>
        </is>
      </c>
      <c r="B5012" s="1" t="n">
        <v>45897.42164351852</v>
      </c>
      <c r="C5012" s="1" t="n">
        <v>46011</v>
      </c>
      <c r="D5012" t="inlineStr">
        <is>
          <t>VÄSTRA GÖTALANDS LÄN</t>
        </is>
      </c>
      <c r="E5012" t="inlineStr">
        <is>
          <t>BOLLEBYGD</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33136-2024</t>
        </is>
      </c>
      <c r="B5013" s="1" t="n">
        <v>45518.32392361111</v>
      </c>
      <c r="C5013" s="1" t="n">
        <v>46011</v>
      </c>
      <c r="D5013" t="inlineStr">
        <is>
          <t>VÄSTRA GÖTALANDS LÄN</t>
        </is>
      </c>
      <c r="E5013" t="inlineStr">
        <is>
          <t>SVENLJUNGA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71963-2021</t>
        </is>
      </c>
      <c r="B5014" s="1" t="n">
        <v>44544.32019675926</v>
      </c>
      <c r="C5014" s="1" t="n">
        <v>46011</v>
      </c>
      <c r="D5014" t="inlineStr">
        <is>
          <t>VÄSTRA GÖTALANDS LÄN</t>
        </is>
      </c>
      <c r="E5014" t="inlineStr">
        <is>
          <t>FÄRGELANDA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33186-2024</t>
        </is>
      </c>
      <c r="B5015" s="1" t="n">
        <v>45518.46350694444</v>
      </c>
      <c r="C5015" s="1" t="n">
        <v>46011</v>
      </c>
      <c r="D5015" t="inlineStr">
        <is>
          <t>VÄSTRA GÖTALANDS LÄN</t>
        </is>
      </c>
      <c r="E5015" t="inlineStr">
        <is>
          <t>SVENLJUNGA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40858-2025</t>
        </is>
      </c>
      <c r="B5016" s="1" t="n">
        <v>45897.56038194444</v>
      </c>
      <c r="C5016" s="1" t="n">
        <v>46011</v>
      </c>
      <c r="D5016" t="inlineStr">
        <is>
          <t>VÄSTRA GÖTALANDS LÄN</t>
        </is>
      </c>
      <c r="E5016" t="inlineStr">
        <is>
          <t>BENGTSFORS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40859-2025</t>
        </is>
      </c>
      <c r="B5017" s="1" t="n">
        <v>45897.56069444444</v>
      </c>
      <c r="C5017" s="1" t="n">
        <v>46011</v>
      </c>
      <c r="D5017" t="inlineStr">
        <is>
          <t>VÄSTRA GÖTALANDS LÄN</t>
        </is>
      </c>
      <c r="E5017" t="inlineStr">
        <is>
          <t>HJO</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27430-2025</t>
        </is>
      </c>
      <c r="B5018" s="1" t="n">
        <v>45813.29825231482</v>
      </c>
      <c r="C5018" s="1" t="n">
        <v>46011</v>
      </c>
      <c r="D5018" t="inlineStr">
        <is>
          <t>VÄSTRA GÖTALANDS LÄN</t>
        </is>
      </c>
      <c r="E5018" t="inlineStr">
        <is>
          <t>TÖREBODA</t>
        </is>
      </c>
      <c r="F5018" t="inlineStr">
        <is>
          <t>Sveaskog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12552-2022</t>
        </is>
      </c>
      <c r="B5019" s="1" t="n">
        <v>44638.75981481482</v>
      </c>
      <c r="C5019" s="1" t="n">
        <v>46011</v>
      </c>
      <c r="D5019" t="inlineStr">
        <is>
          <t>VÄSTRA GÖTALANDS LÄN</t>
        </is>
      </c>
      <c r="E5019" t="inlineStr">
        <is>
          <t>ULRICEHAMN</t>
        </is>
      </c>
      <c r="F5019" t="inlineStr">
        <is>
          <t>Kommuner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40817-2025</t>
        </is>
      </c>
      <c r="B5020" s="1" t="n">
        <v>45897.48766203703</v>
      </c>
      <c r="C5020" s="1" t="n">
        <v>46011</v>
      </c>
      <c r="D5020" t="inlineStr">
        <is>
          <t>VÄSTRA GÖTALANDS LÄN</t>
        </is>
      </c>
      <c r="E5020" t="inlineStr">
        <is>
          <t>DALS-ED</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6928-2024</t>
        </is>
      </c>
      <c r="B5021" s="1" t="n">
        <v>45343</v>
      </c>
      <c r="C5021" s="1" t="n">
        <v>46011</v>
      </c>
      <c r="D5021" t="inlineStr">
        <is>
          <t>VÄSTRA GÖTALANDS LÄN</t>
        </is>
      </c>
      <c r="E5021" t="inlineStr">
        <is>
          <t>ULRICEHAMN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6952-2024</t>
        </is>
      </c>
      <c r="B5022" s="1" t="n">
        <v>45343</v>
      </c>
      <c r="C5022" s="1" t="n">
        <v>46011</v>
      </c>
      <c r="D5022" t="inlineStr">
        <is>
          <t>VÄSTRA GÖTALANDS LÄN</t>
        </is>
      </c>
      <c r="E5022" t="inlineStr">
        <is>
          <t>FALKÖPING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13454-2024</t>
        </is>
      </c>
      <c r="B5023" s="1" t="n">
        <v>45387.51503472222</v>
      </c>
      <c r="C5023" s="1" t="n">
        <v>46011</v>
      </c>
      <c r="D5023" t="inlineStr">
        <is>
          <t>VÄSTRA GÖTALANDS LÄN</t>
        </is>
      </c>
      <c r="E5023" t="inlineStr">
        <is>
          <t>HÄRRYDA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50302-2023</t>
        </is>
      </c>
      <c r="B5024" s="1" t="n">
        <v>45216</v>
      </c>
      <c r="C5024" s="1" t="n">
        <v>46011</v>
      </c>
      <c r="D5024" t="inlineStr">
        <is>
          <t>VÄSTRA GÖTALANDS LÄN</t>
        </is>
      </c>
      <c r="E5024" t="inlineStr">
        <is>
          <t>BOLLEBYGD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27941-2023</t>
        </is>
      </c>
      <c r="B5025" s="1" t="n">
        <v>45098.66324074074</v>
      </c>
      <c r="C5025" s="1" t="n">
        <v>46011</v>
      </c>
      <c r="D5025" t="inlineStr">
        <is>
          <t>VÄSTRA GÖTALANDS LÄN</t>
        </is>
      </c>
      <c r="E5025" t="inlineStr">
        <is>
          <t>FÄRGELANDA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27584-2025</t>
        </is>
      </c>
      <c r="B5026" s="1" t="n">
        <v>45813.50327546296</v>
      </c>
      <c r="C5026" s="1" t="n">
        <v>46011</v>
      </c>
      <c r="D5026" t="inlineStr">
        <is>
          <t>VÄSTRA GÖTALANDS LÄN</t>
        </is>
      </c>
      <c r="E5026" t="inlineStr">
        <is>
          <t>TRANEMO</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41080-2025</t>
        </is>
      </c>
      <c r="B5027" s="1" t="n">
        <v>45898.42802083334</v>
      </c>
      <c r="C5027" s="1" t="n">
        <v>46011</v>
      </c>
      <c r="D5027" t="inlineStr">
        <is>
          <t>VÄSTRA GÖTALANDS LÄN</t>
        </is>
      </c>
      <c r="E5027" t="inlineStr">
        <is>
          <t>BORÅS</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41082-2025</t>
        </is>
      </c>
      <c r="B5028" s="1" t="n">
        <v>45898.43144675926</v>
      </c>
      <c r="C5028" s="1" t="n">
        <v>46011</v>
      </c>
      <c r="D5028" t="inlineStr">
        <is>
          <t>VÄSTRA GÖTALANDS LÄN</t>
        </is>
      </c>
      <c r="E5028" t="inlineStr">
        <is>
          <t>SVENLJUNGA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5600-2023</t>
        </is>
      </c>
      <c r="B5029" s="1" t="n">
        <v>44960.54981481482</v>
      </c>
      <c r="C5029" s="1" t="n">
        <v>46011</v>
      </c>
      <c r="D5029" t="inlineStr">
        <is>
          <t>VÄSTRA GÖTALANDS LÄN</t>
        </is>
      </c>
      <c r="E5029" t="inlineStr">
        <is>
          <t>MUNKEDAL</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27971-2025</t>
        </is>
      </c>
      <c r="B5030" s="1" t="n">
        <v>45817.56479166666</v>
      </c>
      <c r="C5030" s="1" t="n">
        <v>46011</v>
      </c>
      <c r="D5030" t="inlineStr">
        <is>
          <t>VÄSTRA GÖTALANDS LÄN</t>
        </is>
      </c>
      <c r="E5030" t="inlineStr">
        <is>
          <t>SVENLJUNGA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27979-2025</t>
        </is>
      </c>
      <c r="B5031" s="1" t="n">
        <v>45817.57240740741</v>
      </c>
      <c r="C5031" s="1" t="n">
        <v>46011</v>
      </c>
      <c r="D5031" t="inlineStr">
        <is>
          <t>VÄSTRA GÖTALANDS LÄN</t>
        </is>
      </c>
      <c r="E5031" t="inlineStr">
        <is>
          <t>ALINGSÅS</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50282-2023</t>
        </is>
      </c>
      <c r="B5032" s="1" t="n">
        <v>45216</v>
      </c>
      <c r="C5032" s="1" t="n">
        <v>46011</v>
      </c>
      <c r="D5032" t="inlineStr">
        <is>
          <t>VÄSTRA GÖTALANDS LÄN</t>
        </is>
      </c>
      <c r="E5032" t="inlineStr">
        <is>
          <t>BORÅS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40823-2025</t>
        </is>
      </c>
      <c r="B5033" s="1" t="n">
        <v>45897.49462962963</v>
      </c>
      <c r="C5033" s="1" t="n">
        <v>46011</v>
      </c>
      <c r="D5033" t="inlineStr">
        <is>
          <t>VÄSTRA GÖTALANDS LÄN</t>
        </is>
      </c>
      <c r="E5033" t="inlineStr">
        <is>
          <t>HERRLJUNGA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8659-2025</t>
        </is>
      </c>
      <c r="B5034" s="1" t="n">
        <v>45712</v>
      </c>
      <c r="C5034" s="1" t="n">
        <v>46011</v>
      </c>
      <c r="D5034" t="inlineStr">
        <is>
          <t>VÄSTRA GÖTALANDS LÄN</t>
        </is>
      </c>
      <c r="E5034" t="inlineStr">
        <is>
          <t>ALE</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43445-2023</t>
        </is>
      </c>
      <c r="B5035" s="1" t="n">
        <v>45184.35591435185</v>
      </c>
      <c r="C5035" s="1" t="n">
        <v>46011</v>
      </c>
      <c r="D5035" t="inlineStr">
        <is>
          <t>VÄSTRA GÖTALANDS LÄN</t>
        </is>
      </c>
      <c r="E5035" t="inlineStr">
        <is>
          <t>LIDKÖPING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10515-2025</t>
        </is>
      </c>
      <c r="B5036" s="1" t="n">
        <v>45721.423125</v>
      </c>
      <c r="C5036" s="1" t="n">
        <v>46011</v>
      </c>
      <c r="D5036" t="inlineStr">
        <is>
          <t>VÄSTRA GÖTALANDS LÄN</t>
        </is>
      </c>
      <c r="E5036" t="inlineStr">
        <is>
          <t>VÄNERSBORG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13145-2025</t>
        </is>
      </c>
      <c r="B5037" s="1" t="n">
        <v>45735</v>
      </c>
      <c r="C5037" s="1" t="n">
        <v>46011</v>
      </c>
      <c r="D5037" t="inlineStr">
        <is>
          <t>VÄSTRA GÖTALANDS LÄN</t>
        </is>
      </c>
      <c r="E5037" t="inlineStr">
        <is>
          <t>BENGTSFORS</t>
        </is>
      </c>
      <c r="G5037" t="n">
        <v>12.1</v>
      </c>
      <c r="H5037" t="n">
        <v>0</v>
      </c>
      <c r="I5037" t="n">
        <v>0</v>
      </c>
      <c r="J5037" t="n">
        <v>0</v>
      </c>
      <c r="K5037" t="n">
        <v>0</v>
      </c>
      <c r="L5037" t="n">
        <v>0</v>
      </c>
      <c r="M5037" t="n">
        <v>0</v>
      </c>
      <c r="N5037" t="n">
        <v>0</v>
      </c>
      <c r="O5037" t="n">
        <v>0</v>
      </c>
      <c r="P5037" t="n">
        <v>0</v>
      </c>
      <c r="Q5037" t="n">
        <v>0</v>
      </c>
      <c r="R5037" s="2" t="inlineStr"/>
    </row>
    <row r="5038" ht="15" customHeight="1">
      <c r="A5038" t="inlineStr">
        <is>
          <t>A 20685-2024</t>
        </is>
      </c>
      <c r="B5038" s="1" t="n">
        <v>45436.58555555555</v>
      </c>
      <c r="C5038" s="1" t="n">
        <v>46011</v>
      </c>
      <c r="D5038" t="inlineStr">
        <is>
          <t>VÄSTRA GÖTALANDS LÄN</t>
        </is>
      </c>
      <c r="E5038" t="inlineStr">
        <is>
          <t>LYSEKIL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14703-2025</t>
        </is>
      </c>
      <c r="B5039" s="1" t="n">
        <v>45742.60491898148</v>
      </c>
      <c r="C5039" s="1" t="n">
        <v>46011</v>
      </c>
      <c r="D5039" t="inlineStr">
        <is>
          <t>VÄSTRA GÖTALANDS LÄN</t>
        </is>
      </c>
      <c r="E5039" t="inlineStr">
        <is>
          <t>KARLSBORG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27788-2025</t>
        </is>
      </c>
      <c r="B5040" s="1" t="n">
        <v>45816.69795138889</v>
      </c>
      <c r="C5040" s="1" t="n">
        <v>46011</v>
      </c>
      <c r="D5040" t="inlineStr">
        <is>
          <t>VÄSTRA GÖTALANDS LÄN</t>
        </is>
      </c>
      <c r="E5040" t="inlineStr">
        <is>
          <t>SVENLJUNGA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27789-2025</t>
        </is>
      </c>
      <c r="B5041" s="1" t="n">
        <v>45816.70137731481</v>
      </c>
      <c r="C5041" s="1" t="n">
        <v>46011</v>
      </c>
      <c r="D5041" t="inlineStr">
        <is>
          <t>VÄSTRA GÖTALANDS LÄN</t>
        </is>
      </c>
      <c r="E5041" t="inlineStr">
        <is>
          <t>SVENLJUNGA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40890-2025</t>
        </is>
      </c>
      <c r="B5042" s="1" t="n">
        <v>45897.60579861111</v>
      </c>
      <c r="C5042" s="1" t="n">
        <v>46011</v>
      </c>
      <c r="D5042" t="inlineStr">
        <is>
          <t>VÄSTRA GÖTALANDS LÄN</t>
        </is>
      </c>
      <c r="E5042" t="inlineStr">
        <is>
          <t>TRANEMO</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41381-2025</t>
        </is>
      </c>
      <c r="B5043" s="1" t="n">
        <v>45898</v>
      </c>
      <c r="C5043" s="1" t="n">
        <v>46011</v>
      </c>
      <c r="D5043" t="inlineStr">
        <is>
          <t>VÄSTRA GÖTALANDS LÄN</t>
        </is>
      </c>
      <c r="E5043" t="inlineStr">
        <is>
          <t>LYSEKIL</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51659-2024</t>
        </is>
      </c>
      <c r="B5044" s="1" t="n">
        <v>45606.7063425926</v>
      </c>
      <c r="C5044" s="1" t="n">
        <v>46011</v>
      </c>
      <c r="D5044" t="inlineStr">
        <is>
          <t>VÄSTRA GÖTALANDS LÄN</t>
        </is>
      </c>
      <c r="E5044" t="inlineStr">
        <is>
          <t>ULRICEHAMN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51664-2024</t>
        </is>
      </c>
      <c r="B5045" s="1" t="n">
        <v>45606.81386574074</v>
      </c>
      <c r="C5045" s="1" t="n">
        <v>46011</v>
      </c>
      <c r="D5045" t="inlineStr">
        <is>
          <t>VÄSTRA GÖTALANDS LÄN</t>
        </is>
      </c>
      <c r="E5045" t="inlineStr">
        <is>
          <t>FALKÖPING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28264-2025</t>
        </is>
      </c>
      <c r="B5046" s="1" t="n">
        <v>45818.55997685185</v>
      </c>
      <c r="C5046" s="1" t="n">
        <v>46011</v>
      </c>
      <c r="D5046" t="inlineStr">
        <is>
          <t>VÄSTRA GÖTALANDS LÄN</t>
        </is>
      </c>
      <c r="E5046" t="inlineStr">
        <is>
          <t>VÄNERSBORG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28265-2025</t>
        </is>
      </c>
      <c r="B5047" s="1" t="n">
        <v>45818.56096064814</v>
      </c>
      <c r="C5047" s="1" t="n">
        <v>46011</v>
      </c>
      <c r="D5047" t="inlineStr">
        <is>
          <t>VÄSTRA GÖTALANDS LÄN</t>
        </is>
      </c>
      <c r="E5047" t="inlineStr">
        <is>
          <t>VÄNERSBORG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28304-2025</t>
        </is>
      </c>
      <c r="B5048" s="1" t="n">
        <v>45818.61042824074</v>
      </c>
      <c r="C5048" s="1" t="n">
        <v>46011</v>
      </c>
      <c r="D5048" t="inlineStr">
        <is>
          <t>VÄSTRA GÖTALANDS LÄN</t>
        </is>
      </c>
      <c r="E5048" t="inlineStr">
        <is>
          <t>BENGTSFORS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52165-2024</t>
        </is>
      </c>
      <c r="B5049" s="1" t="n">
        <v>45608</v>
      </c>
      <c r="C5049" s="1" t="n">
        <v>46011</v>
      </c>
      <c r="D5049" t="inlineStr">
        <is>
          <t>VÄSTRA GÖTALANDS LÄN</t>
        </is>
      </c>
      <c r="E5049" t="inlineStr">
        <is>
          <t>BORÅS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11076-2025</t>
        </is>
      </c>
      <c r="B5050" s="1" t="n">
        <v>45723.5541087963</v>
      </c>
      <c r="C5050" s="1" t="n">
        <v>46011</v>
      </c>
      <c r="D5050" t="inlineStr">
        <is>
          <t>VÄSTRA GÖTALANDS LÄN</t>
        </is>
      </c>
      <c r="E5050" t="inlineStr">
        <is>
          <t>UDDEVALLA</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41382-2025</t>
        </is>
      </c>
      <c r="B5051" s="1" t="n">
        <v>45898</v>
      </c>
      <c r="C5051" s="1" t="n">
        <v>46011</v>
      </c>
      <c r="D5051" t="inlineStr">
        <is>
          <t>VÄSTRA GÖTALANDS LÄN</t>
        </is>
      </c>
      <c r="E5051" t="inlineStr">
        <is>
          <t>MUNKEDAL</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10714-2022</t>
        </is>
      </c>
      <c r="B5052" s="1" t="n">
        <v>44626</v>
      </c>
      <c r="C5052" s="1" t="n">
        <v>46011</v>
      </c>
      <c r="D5052" t="inlineStr">
        <is>
          <t>VÄSTRA GÖTALANDS LÄN</t>
        </is>
      </c>
      <c r="E5052" t="inlineStr">
        <is>
          <t>ULRICEHAMN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7332-2024</t>
        </is>
      </c>
      <c r="B5053" s="1" t="n">
        <v>45345.40760416666</v>
      </c>
      <c r="C5053" s="1" t="n">
        <v>46011</v>
      </c>
      <c r="D5053" t="inlineStr">
        <is>
          <t>VÄSTRA GÖTALANDS LÄN</t>
        </is>
      </c>
      <c r="E5053" t="inlineStr">
        <is>
          <t>HERRLJUNGA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11697-2024</t>
        </is>
      </c>
      <c r="B5054" s="1" t="n">
        <v>45373.60171296296</v>
      </c>
      <c r="C5054" s="1" t="n">
        <v>46011</v>
      </c>
      <c r="D5054" t="inlineStr">
        <is>
          <t>VÄSTRA GÖTALANDS LÄN</t>
        </is>
      </c>
      <c r="E5054" t="inlineStr">
        <is>
          <t>HÄRRYDA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5843-2025</t>
        </is>
      </c>
      <c r="B5055" s="1" t="n">
        <v>45695.27399305555</v>
      </c>
      <c r="C5055" s="1" t="n">
        <v>46011</v>
      </c>
      <c r="D5055" t="inlineStr">
        <is>
          <t>VÄSTRA GÖTALANDS LÄN</t>
        </is>
      </c>
      <c r="E5055" t="inlineStr">
        <is>
          <t>TRANEMO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54815-2024</t>
        </is>
      </c>
      <c r="B5056" s="1" t="n">
        <v>45618.52350694445</v>
      </c>
      <c r="C5056" s="1" t="n">
        <v>46011</v>
      </c>
      <c r="D5056" t="inlineStr">
        <is>
          <t>VÄSTRA GÖTALANDS LÄN</t>
        </is>
      </c>
      <c r="E5056" t="inlineStr">
        <is>
          <t>MUNKEDAL</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27838-2025</t>
        </is>
      </c>
      <c r="B5057" s="1" t="n">
        <v>45817.37365740741</v>
      </c>
      <c r="C5057" s="1" t="n">
        <v>46011</v>
      </c>
      <c r="D5057" t="inlineStr">
        <is>
          <t>VÄSTRA GÖTALANDS LÄN</t>
        </is>
      </c>
      <c r="E5057" t="inlineStr">
        <is>
          <t>BENGTSFORS</t>
        </is>
      </c>
      <c r="F5057" t="inlineStr">
        <is>
          <t>Övriga Aktiebolag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18337-2022</t>
        </is>
      </c>
      <c r="B5058" s="1" t="n">
        <v>44685.63946759259</v>
      </c>
      <c r="C5058" s="1" t="n">
        <v>46011</v>
      </c>
      <c r="D5058" t="inlineStr">
        <is>
          <t>VÄSTRA GÖTALANDS LÄN</t>
        </is>
      </c>
      <c r="E5058" t="inlineStr">
        <is>
          <t>MARK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30272-2024</t>
        </is>
      </c>
      <c r="B5059" s="1" t="n">
        <v>45490</v>
      </c>
      <c r="C5059" s="1" t="n">
        <v>46011</v>
      </c>
      <c r="D5059" t="inlineStr">
        <is>
          <t>VÄSTRA GÖTALANDS LÄN</t>
        </is>
      </c>
      <c r="E5059" t="inlineStr">
        <is>
          <t>MARK</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30277-2024</t>
        </is>
      </c>
      <c r="B5060" s="1" t="n">
        <v>45490</v>
      </c>
      <c r="C5060" s="1" t="n">
        <v>46011</v>
      </c>
      <c r="D5060" t="inlineStr">
        <is>
          <t>VÄSTRA GÖTALANDS LÄN</t>
        </is>
      </c>
      <c r="E5060" t="inlineStr">
        <is>
          <t>MARK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54866-2024</t>
        </is>
      </c>
      <c r="B5061" s="1" t="n">
        <v>45618.59667824074</v>
      </c>
      <c r="C5061" s="1" t="n">
        <v>46011</v>
      </c>
      <c r="D5061" t="inlineStr">
        <is>
          <t>VÄSTRA GÖTALANDS LÄN</t>
        </is>
      </c>
      <c r="E5061" t="inlineStr">
        <is>
          <t>MUNKEDAL</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31604-2024</t>
        </is>
      </c>
      <c r="B5062" s="1" t="n">
        <v>45506.41831018519</v>
      </c>
      <c r="C5062" s="1" t="n">
        <v>46011</v>
      </c>
      <c r="D5062" t="inlineStr">
        <is>
          <t>VÄSTRA GÖTALANDS LÄN</t>
        </is>
      </c>
      <c r="E5062" t="inlineStr">
        <is>
          <t>TANUM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31613-2024</t>
        </is>
      </c>
      <c r="B5063" s="1" t="n">
        <v>45506.43997685185</v>
      </c>
      <c r="C5063" s="1" t="n">
        <v>46011</v>
      </c>
      <c r="D5063" t="inlineStr">
        <is>
          <t>VÄSTRA GÖTALANDS LÄN</t>
        </is>
      </c>
      <c r="E5063" t="inlineStr">
        <is>
          <t>TANUM</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27986-2025</t>
        </is>
      </c>
      <c r="B5064" s="1" t="n">
        <v>45817.57896990741</v>
      </c>
      <c r="C5064" s="1" t="n">
        <v>46011</v>
      </c>
      <c r="D5064" t="inlineStr">
        <is>
          <t>VÄSTRA GÖTALANDS LÄN</t>
        </is>
      </c>
      <c r="E5064" t="inlineStr">
        <is>
          <t>BENGTSFORS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28012-2025</t>
        </is>
      </c>
      <c r="B5065" s="1" t="n">
        <v>45817.60978009259</v>
      </c>
      <c r="C5065" s="1" t="n">
        <v>46011</v>
      </c>
      <c r="D5065" t="inlineStr">
        <is>
          <t>VÄSTRA GÖTALANDS LÄN</t>
        </is>
      </c>
      <c r="E5065" t="inlineStr">
        <is>
          <t>MARIESTAD</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28028-2025</t>
        </is>
      </c>
      <c r="B5066" s="1" t="n">
        <v>45817.62829861111</v>
      </c>
      <c r="C5066" s="1" t="n">
        <v>46011</v>
      </c>
      <c r="D5066" t="inlineStr">
        <is>
          <t>VÄSTRA GÖTALANDS LÄN</t>
        </is>
      </c>
      <c r="E5066" t="inlineStr">
        <is>
          <t>BORÅS</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28029-2025</t>
        </is>
      </c>
      <c r="B5067" s="1" t="n">
        <v>45817.6285300926</v>
      </c>
      <c r="C5067" s="1" t="n">
        <v>46011</v>
      </c>
      <c r="D5067" t="inlineStr">
        <is>
          <t>VÄSTRA GÖTALANDS LÄN</t>
        </is>
      </c>
      <c r="E5067" t="inlineStr">
        <is>
          <t>LERUM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28037-2025</t>
        </is>
      </c>
      <c r="B5068" s="1" t="n">
        <v>45817.635625</v>
      </c>
      <c r="C5068" s="1" t="n">
        <v>46011</v>
      </c>
      <c r="D5068" t="inlineStr">
        <is>
          <t>VÄSTRA GÖTALANDS LÄN</t>
        </is>
      </c>
      <c r="E5068" t="inlineStr">
        <is>
          <t>BORÅS</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28041-2025</t>
        </is>
      </c>
      <c r="B5069" s="1" t="n">
        <v>45817.64803240741</v>
      </c>
      <c r="C5069" s="1" t="n">
        <v>46011</v>
      </c>
      <c r="D5069" t="inlineStr">
        <is>
          <t>VÄSTRA GÖTALANDS LÄN</t>
        </is>
      </c>
      <c r="E5069" t="inlineStr">
        <is>
          <t>SKARA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27792-2025</t>
        </is>
      </c>
      <c r="B5070" s="1" t="n">
        <v>45816.72797453704</v>
      </c>
      <c r="C5070" s="1" t="n">
        <v>46011</v>
      </c>
      <c r="D5070" t="inlineStr">
        <is>
          <t>VÄSTRA GÖTALANDS LÄN</t>
        </is>
      </c>
      <c r="E5070" t="inlineStr">
        <is>
          <t>FALKÖPING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28261-2025</t>
        </is>
      </c>
      <c r="B5071" s="1" t="n">
        <v>45818.55596064815</v>
      </c>
      <c r="C5071" s="1" t="n">
        <v>46011</v>
      </c>
      <c r="D5071" t="inlineStr">
        <is>
          <t>VÄSTRA GÖTALANDS LÄN</t>
        </is>
      </c>
      <c r="E5071" t="inlineStr">
        <is>
          <t>VÄNERSBORG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28263-2025</t>
        </is>
      </c>
      <c r="B5072" s="1" t="n">
        <v>45818.55798611111</v>
      </c>
      <c r="C5072" s="1" t="n">
        <v>46011</v>
      </c>
      <c r="D5072" t="inlineStr">
        <is>
          <t>VÄSTRA GÖTALANDS LÄN</t>
        </is>
      </c>
      <c r="E5072" t="inlineStr">
        <is>
          <t>VÄNERSBORG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5344-2024</t>
        </is>
      </c>
      <c r="B5073" s="1" t="n">
        <v>45331</v>
      </c>
      <c r="C5073" s="1" t="n">
        <v>46011</v>
      </c>
      <c r="D5073" t="inlineStr">
        <is>
          <t>VÄSTRA GÖTALANDS LÄN</t>
        </is>
      </c>
      <c r="E5073" t="inlineStr">
        <is>
          <t>ALE</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16001-2025</t>
        </is>
      </c>
      <c r="B5074" s="1" t="n">
        <v>45749.58880787037</v>
      </c>
      <c r="C5074" s="1" t="n">
        <v>46011</v>
      </c>
      <c r="D5074" t="inlineStr">
        <is>
          <t>VÄSTRA GÖTALANDS LÄN</t>
        </is>
      </c>
      <c r="E5074" t="inlineStr">
        <is>
          <t>MARK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54101-2024</t>
        </is>
      </c>
      <c r="B5075" s="1" t="n">
        <v>45616.52381944445</v>
      </c>
      <c r="C5075" s="1" t="n">
        <v>46011</v>
      </c>
      <c r="D5075" t="inlineStr">
        <is>
          <t>VÄSTRA GÖTALANDS LÄN</t>
        </is>
      </c>
      <c r="E5075" t="inlineStr">
        <is>
          <t>FALKÖPING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47884-2024</t>
        </is>
      </c>
      <c r="B5076" s="1" t="n">
        <v>45588.81101851852</v>
      </c>
      <c r="C5076" s="1" t="n">
        <v>46011</v>
      </c>
      <c r="D5076" t="inlineStr">
        <is>
          <t>VÄSTRA GÖTALANDS LÄN</t>
        </is>
      </c>
      <c r="E5076" t="inlineStr">
        <is>
          <t>ORUST</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11362-2025</t>
        </is>
      </c>
      <c r="B5077" s="1" t="n">
        <v>45726.53643518518</v>
      </c>
      <c r="C5077" s="1" t="n">
        <v>46011</v>
      </c>
      <c r="D5077" t="inlineStr">
        <is>
          <t>VÄSTRA GÖTALANDS LÄN</t>
        </is>
      </c>
      <c r="E5077" t="inlineStr">
        <is>
          <t>STENUNGSUND</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14407-2025</t>
        </is>
      </c>
      <c r="B5078" s="1" t="n">
        <v>45741.47072916666</v>
      </c>
      <c r="C5078" s="1" t="n">
        <v>46011</v>
      </c>
      <c r="D5078" t="inlineStr">
        <is>
          <t>VÄSTRA GÖTALANDS LÄN</t>
        </is>
      </c>
      <c r="E5078" t="inlineStr">
        <is>
          <t>FALKÖPING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28222-2025</t>
        </is>
      </c>
      <c r="B5079" s="1" t="n">
        <v>45818.47643518518</v>
      </c>
      <c r="C5079" s="1" t="n">
        <v>46011</v>
      </c>
      <c r="D5079" t="inlineStr">
        <is>
          <t>VÄSTRA GÖTALANDS LÄN</t>
        </is>
      </c>
      <c r="E5079" t="inlineStr">
        <is>
          <t>UDDEVALLA</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31381-2025</t>
        </is>
      </c>
      <c r="B5080" s="1" t="n">
        <v>45833</v>
      </c>
      <c r="C5080" s="1" t="n">
        <v>46011</v>
      </c>
      <c r="D5080" t="inlineStr">
        <is>
          <t>VÄSTRA GÖTALANDS LÄN</t>
        </is>
      </c>
      <c r="E5080" t="inlineStr">
        <is>
          <t>BENGTSFORS</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40758-2025</t>
        </is>
      </c>
      <c r="B5081" s="1" t="n">
        <v>45897</v>
      </c>
      <c r="C5081" s="1" t="n">
        <v>46011</v>
      </c>
      <c r="D5081" t="inlineStr">
        <is>
          <t>VÄSTRA GÖTALANDS LÄN</t>
        </is>
      </c>
      <c r="E5081" t="inlineStr">
        <is>
          <t>TIBRO</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27766-2025</t>
        </is>
      </c>
      <c r="B5082" s="1" t="n">
        <v>45816.58734953704</v>
      </c>
      <c r="C5082" s="1" t="n">
        <v>46011</v>
      </c>
      <c r="D5082" t="inlineStr">
        <is>
          <t>VÄSTRA GÖTALANDS LÄN</t>
        </is>
      </c>
      <c r="E5082" t="inlineStr">
        <is>
          <t>TRANEMO</t>
        </is>
      </c>
      <c r="G5082" t="n">
        <v>11.8</v>
      </c>
      <c r="H5082" t="n">
        <v>0</v>
      </c>
      <c r="I5082" t="n">
        <v>0</v>
      </c>
      <c r="J5082" t="n">
        <v>0</v>
      </c>
      <c r="K5082" t="n">
        <v>0</v>
      </c>
      <c r="L5082" t="n">
        <v>0</v>
      </c>
      <c r="M5082" t="n">
        <v>0</v>
      </c>
      <c r="N5082" t="n">
        <v>0</v>
      </c>
      <c r="O5082" t="n">
        <v>0</v>
      </c>
      <c r="P5082" t="n">
        <v>0</v>
      </c>
      <c r="Q5082" t="n">
        <v>0</v>
      </c>
      <c r="R5082" s="2" t="inlineStr"/>
    </row>
    <row r="5083" ht="15" customHeight="1">
      <c r="A5083" t="inlineStr">
        <is>
          <t>A 28266-2025</t>
        </is>
      </c>
      <c r="B5083" s="1" t="n">
        <v>45818.56381944445</v>
      </c>
      <c r="C5083" s="1" t="n">
        <v>46011</v>
      </c>
      <c r="D5083" t="inlineStr">
        <is>
          <t>VÄSTRA GÖTALANDS LÄN</t>
        </is>
      </c>
      <c r="E5083" t="inlineStr">
        <is>
          <t>GÖTEBORG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37092-2024</t>
        </is>
      </c>
      <c r="B5084" s="1" t="n">
        <v>45539.49989583333</v>
      </c>
      <c r="C5084" s="1" t="n">
        <v>46011</v>
      </c>
      <c r="D5084" t="inlineStr">
        <is>
          <t>VÄSTRA GÖTALANDS LÄN</t>
        </is>
      </c>
      <c r="E5084" t="inlineStr">
        <is>
          <t>STRÖMSTAD</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9404-2022</t>
        </is>
      </c>
      <c r="B5085" s="1" t="n">
        <v>44616</v>
      </c>
      <c r="C5085" s="1" t="n">
        <v>46011</v>
      </c>
      <c r="D5085" t="inlineStr">
        <is>
          <t>VÄSTRA GÖTALANDS LÄN</t>
        </is>
      </c>
      <c r="E5085" t="inlineStr">
        <is>
          <t>VARA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28302-2025</t>
        </is>
      </c>
      <c r="B5086" s="1" t="n">
        <v>45818.60586805556</v>
      </c>
      <c r="C5086" s="1" t="n">
        <v>46011</v>
      </c>
      <c r="D5086" t="inlineStr">
        <is>
          <t>VÄSTRA GÖTALANDS LÄN</t>
        </is>
      </c>
      <c r="E5086" t="inlineStr">
        <is>
          <t>BENGTSFORS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54279-2024</t>
        </is>
      </c>
      <c r="B5087" s="1" t="n">
        <v>45616.855</v>
      </c>
      <c r="C5087" s="1" t="n">
        <v>46011</v>
      </c>
      <c r="D5087" t="inlineStr">
        <is>
          <t>VÄSTRA GÖTALANDS LÄN</t>
        </is>
      </c>
      <c r="E5087" t="inlineStr">
        <is>
          <t>ORUST</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1313-2025</t>
        </is>
      </c>
      <c r="B5088" s="1" t="n">
        <v>45667</v>
      </c>
      <c r="C5088" s="1" t="n">
        <v>46011</v>
      </c>
      <c r="D5088" t="inlineStr">
        <is>
          <t>VÄSTRA GÖTALANDS LÄN</t>
        </is>
      </c>
      <c r="E5088" t="inlineStr">
        <is>
          <t>MARK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9893-2025</t>
        </is>
      </c>
      <c r="B5089" s="1" t="n">
        <v>45716.70841435185</v>
      </c>
      <c r="C5089" s="1" t="n">
        <v>46011</v>
      </c>
      <c r="D5089" t="inlineStr">
        <is>
          <t>VÄSTRA GÖTALANDS LÄN</t>
        </is>
      </c>
      <c r="E5089" t="inlineStr">
        <is>
          <t>STENUNGSUND</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1777-2025</t>
        </is>
      </c>
      <c r="B5090" s="1" t="n">
        <v>45670</v>
      </c>
      <c r="C5090" s="1" t="n">
        <v>46011</v>
      </c>
      <c r="D5090" t="inlineStr">
        <is>
          <t>VÄSTRA GÖTALANDS LÄN</t>
        </is>
      </c>
      <c r="E5090" t="inlineStr">
        <is>
          <t>BORÅS</t>
        </is>
      </c>
      <c r="F5090" t="inlineStr">
        <is>
          <t>Kommuner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40929-2025</t>
        </is>
      </c>
      <c r="B5091" s="1" t="n">
        <v>45897.64601851852</v>
      </c>
      <c r="C5091" s="1" t="n">
        <v>46011</v>
      </c>
      <c r="D5091" t="inlineStr">
        <is>
          <t>VÄSTRA GÖTALANDS LÄN</t>
        </is>
      </c>
      <c r="E5091" t="inlineStr">
        <is>
          <t>HERRLJUNGA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40955-2025</t>
        </is>
      </c>
      <c r="B5092" s="1" t="n">
        <v>45897.67510416666</v>
      </c>
      <c r="C5092" s="1" t="n">
        <v>46011</v>
      </c>
      <c r="D5092" t="inlineStr">
        <is>
          <t>VÄSTRA GÖTALANDS LÄN</t>
        </is>
      </c>
      <c r="E5092" t="inlineStr">
        <is>
          <t>VÅRGÅRDA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50879-2024</t>
        </is>
      </c>
      <c r="B5093" s="1" t="n">
        <v>45602.65221064815</v>
      </c>
      <c r="C5093" s="1" t="n">
        <v>46011</v>
      </c>
      <c r="D5093" t="inlineStr">
        <is>
          <t>VÄSTRA GÖTALANDS LÄN</t>
        </is>
      </c>
      <c r="E5093" t="inlineStr">
        <is>
          <t>UDDEVALLA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2412-2024</t>
        </is>
      </c>
      <c r="B5094" s="1" t="n">
        <v>45310</v>
      </c>
      <c r="C5094" s="1" t="n">
        <v>46011</v>
      </c>
      <c r="D5094" t="inlineStr">
        <is>
          <t>VÄSTRA GÖTALANDS LÄN</t>
        </is>
      </c>
      <c r="E5094" t="inlineStr">
        <is>
          <t>STENUNGSUND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54185-2024</t>
        </is>
      </c>
      <c r="B5095" s="1" t="n">
        <v>45616.64060185185</v>
      </c>
      <c r="C5095" s="1" t="n">
        <v>46011</v>
      </c>
      <c r="D5095" t="inlineStr">
        <is>
          <t>VÄSTRA GÖTALANDS LÄN</t>
        </is>
      </c>
      <c r="E5095" t="inlineStr">
        <is>
          <t>VÅRGÅRDA</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46904-2024</t>
        </is>
      </c>
      <c r="B5096" s="1" t="n">
        <v>45583.70912037037</v>
      </c>
      <c r="C5096" s="1" t="n">
        <v>46011</v>
      </c>
      <c r="D5096" t="inlineStr">
        <is>
          <t>VÄSTRA GÖTALANDS LÄN</t>
        </is>
      </c>
      <c r="E5096" t="inlineStr">
        <is>
          <t>KARLSBORG</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14692-2024</t>
        </is>
      </c>
      <c r="B5097" s="1" t="n">
        <v>45397</v>
      </c>
      <c r="C5097" s="1" t="n">
        <v>46011</v>
      </c>
      <c r="D5097" t="inlineStr">
        <is>
          <t>VÄSTRA GÖTALANDS LÄN</t>
        </is>
      </c>
      <c r="E5097" t="inlineStr">
        <is>
          <t>MARK</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41132-2025</t>
        </is>
      </c>
      <c r="B5098" s="1" t="n">
        <v>45898.48224537037</v>
      </c>
      <c r="C5098" s="1" t="n">
        <v>46011</v>
      </c>
      <c r="D5098" t="inlineStr">
        <is>
          <t>VÄSTRA GÖTALANDS LÄN</t>
        </is>
      </c>
      <c r="E5098" t="inlineStr">
        <is>
          <t>MARK</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41136-2025</t>
        </is>
      </c>
      <c r="B5099" s="1" t="n">
        <v>45898.4855787037</v>
      </c>
      <c r="C5099" s="1" t="n">
        <v>46011</v>
      </c>
      <c r="D5099" t="inlineStr">
        <is>
          <t>VÄSTRA GÖTALANDS LÄN</t>
        </is>
      </c>
      <c r="E5099" t="inlineStr">
        <is>
          <t>MARK</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28178-2025</t>
        </is>
      </c>
      <c r="B5100" s="1" t="n">
        <v>45818.39394675926</v>
      </c>
      <c r="C5100" s="1" t="n">
        <v>46011</v>
      </c>
      <c r="D5100" t="inlineStr">
        <is>
          <t>VÄSTRA GÖTALANDS LÄN</t>
        </is>
      </c>
      <c r="E5100" t="inlineStr">
        <is>
          <t>MARK</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41289-2025</t>
        </is>
      </c>
      <c r="B5101" s="1" t="n">
        <v>45898.64099537037</v>
      </c>
      <c r="C5101" s="1" t="n">
        <v>46011</v>
      </c>
      <c r="D5101" t="inlineStr">
        <is>
          <t>VÄSTRA GÖTALANDS LÄN</t>
        </is>
      </c>
      <c r="E5101" t="inlineStr">
        <is>
          <t>SVENLJUNGA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40920-2025</t>
        </is>
      </c>
      <c r="B5102" s="1" t="n">
        <v>45897</v>
      </c>
      <c r="C5102" s="1" t="n">
        <v>46011</v>
      </c>
      <c r="D5102" t="inlineStr">
        <is>
          <t>VÄSTRA GÖTALANDS LÄN</t>
        </is>
      </c>
      <c r="E5102" t="inlineStr">
        <is>
          <t>TIDAHOLM</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40951-2025</t>
        </is>
      </c>
      <c r="B5103" s="1" t="n">
        <v>45897.66342592592</v>
      </c>
      <c r="C5103" s="1" t="n">
        <v>46011</v>
      </c>
      <c r="D5103" t="inlineStr">
        <is>
          <t>VÄSTRA GÖTALANDS LÄN</t>
        </is>
      </c>
      <c r="E5103" t="inlineStr">
        <is>
          <t>KUNGÄLV</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12588-2022</t>
        </is>
      </c>
      <c r="B5104" s="1" t="n">
        <v>44639</v>
      </c>
      <c r="C5104" s="1" t="n">
        <v>46011</v>
      </c>
      <c r="D5104" t="inlineStr">
        <is>
          <t>VÄSTRA GÖTALANDS LÄN</t>
        </is>
      </c>
      <c r="E5104" t="inlineStr">
        <is>
          <t>BORÅS</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27141-2024</t>
        </is>
      </c>
      <c r="B5105" s="1" t="n">
        <v>45471.55196759259</v>
      </c>
      <c r="C5105" s="1" t="n">
        <v>46011</v>
      </c>
      <c r="D5105" t="inlineStr">
        <is>
          <t>VÄSTRA GÖTALANDS LÄN</t>
        </is>
      </c>
      <c r="E5105" t="inlineStr">
        <is>
          <t>VÅRGÅRDA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1814-2022</t>
        </is>
      </c>
      <c r="B5106" s="1" t="n">
        <v>44574</v>
      </c>
      <c r="C5106" s="1" t="n">
        <v>46011</v>
      </c>
      <c r="D5106" t="inlineStr">
        <is>
          <t>VÄSTRA GÖTALANDS LÄN</t>
        </is>
      </c>
      <c r="E5106" t="inlineStr">
        <is>
          <t>MARK</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28020-2025</t>
        </is>
      </c>
      <c r="B5107" s="1" t="n">
        <v>45817.61564814814</v>
      </c>
      <c r="C5107" s="1" t="n">
        <v>46011</v>
      </c>
      <c r="D5107" t="inlineStr">
        <is>
          <t>VÄSTRA GÖTALANDS LÄN</t>
        </is>
      </c>
      <c r="E5107" t="inlineStr">
        <is>
          <t>MARK</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16354-2025</t>
        </is>
      </c>
      <c r="B5108" s="1" t="n">
        <v>45751</v>
      </c>
      <c r="C5108" s="1" t="n">
        <v>46011</v>
      </c>
      <c r="D5108" t="inlineStr">
        <is>
          <t>VÄSTRA GÖTALANDS LÄN</t>
        </is>
      </c>
      <c r="E5108" t="inlineStr">
        <is>
          <t>MARK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1878-2022</t>
        </is>
      </c>
      <c r="B5109" s="1" t="n">
        <v>44574</v>
      </c>
      <c r="C5109" s="1" t="n">
        <v>46011</v>
      </c>
      <c r="D5109" t="inlineStr">
        <is>
          <t>VÄSTRA GÖTALANDS LÄN</t>
        </is>
      </c>
      <c r="E5109" t="inlineStr">
        <is>
          <t>TIBRO</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41022-2025</t>
        </is>
      </c>
      <c r="B5110" s="1" t="n">
        <v>45898.36680555555</v>
      </c>
      <c r="C5110" s="1" t="n">
        <v>46011</v>
      </c>
      <c r="D5110" t="inlineStr">
        <is>
          <t>VÄSTRA GÖTALANDS LÄN</t>
        </is>
      </c>
      <c r="E5110" t="inlineStr">
        <is>
          <t>ESSUNGA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34417-2024</t>
        </is>
      </c>
      <c r="B5111" s="1" t="n">
        <v>45525.49019675926</v>
      </c>
      <c r="C5111" s="1" t="n">
        <v>46011</v>
      </c>
      <c r="D5111" t="inlineStr">
        <is>
          <t>VÄSTRA GÖTALANDS LÄN</t>
        </is>
      </c>
      <c r="E5111" t="inlineStr">
        <is>
          <t>ÅMÅL</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53055-2024</t>
        </is>
      </c>
      <c r="B5112" s="1" t="n">
        <v>45611.46429398148</v>
      </c>
      <c r="C5112" s="1" t="n">
        <v>46011</v>
      </c>
      <c r="D5112" t="inlineStr">
        <is>
          <t>VÄSTRA GÖTALANDS LÄN</t>
        </is>
      </c>
      <c r="E5112" t="inlineStr">
        <is>
          <t>BOLLEBYGD</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41286-2025</t>
        </is>
      </c>
      <c r="B5113" s="1" t="n">
        <v>45898.63819444444</v>
      </c>
      <c r="C5113" s="1" t="n">
        <v>46011</v>
      </c>
      <c r="D5113" t="inlineStr">
        <is>
          <t>VÄSTRA GÖTALANDS LÄN</t>
        </is>
      </c>
      <c r="E5113" t="inlineStr">
        <is>
          <t>VARA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18637-2023</t>
        </is>
      </c>
      <c r="B5114" s="1" t="n">
        <v>45043</v>
      </c>
      <c r="C5114" s="1" t="n">
        <v>46011</v>
      </c>
      <c r="D5114" t="inlineStr">
        <is>
          <t>VÄSTRA GÖTALANDS LÄN</t>
        </is>
      </c>
      <c r="E5114" t="inlineStr">
        <is>
          <t>ALE</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46420-2024</t>
        </is>
      </c>
      <c r="B5115" s="1" t="n">
        <v>45582.46026620371</v>
      </c>
      <c r="C5115" s="1" t="n">
        <v>46011</v>
      </c>
      <c r="D5115" t="inlineStr">
        <is>
          <t>VÄSTRA GÖTALANDS LÄN</t>
        </is>
      </c>
      <c r="E5115" t="inlineStr">
        <is>
          <t>BORÅS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42052-2025</t>
        </is>
      </c>
      <c r="B5116" s="1" t="n">
        <v>45902</v>
      </c>
      <c r="C5116" s="1" t="n">
        <v>46011</v>
      </c>
      <c r="D5116" t="inlineStr">
        <is>
          <t>VÄSTRA GÖTALANDS LÄN</t>
        </is>
      </c>
      <c r="E5116" t="inlineStr">
        <is>
          <t>SVENLJUNGA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42062-2025</t>
        </is>
      </c>
      <c r="B5117" s="1" t="n">
        <v>45902</v>
      </c>
      <c r="C5117" s="1" t="n">
        <v>46011</v>
      </c>
      <c r="D5117" t="inlineStr">
        <is>
          <t>VÄSTRA GÖTALANDS LÄN</t>
        </is>
      </c>
      <c r="E5117" t="inlineStr">
        <is>
          <t>SVENLJUNGA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51020-2024</t>
        </is>
      </c>
      <c r="B5118" s="1" t="n">
        <v>45603.408125</v>
      </c>
      <c r="C5118" s="1" t="n">
        <v>46011</v>
      </c>
      <c r="D5118" t="inlineStr">
        <is>
          <t>VÄSTRA GÖTALANDS LÄN</t>
        </is>
      </c>
      <c r="E5118" t="inlineStr">
        <is>
          <t>DALS-ED</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24086-2025</t>
        </is>
      </c>
      <c r="B5119" s="1" t="n">
        <v>45795</v>
      </c>
      <c r="C5119" s="1" t="n">
        <v>46011</v>
      </c>
      <c r="D5119" t="inlineStr">
        <is>
          <t>VÄSTRA GÖTALANDS LÄN</t>
        </is>
      </c>
      <c r="E5119" t="inlineStr">
        <is>
          <t>SOTENÄS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41688-2025</t>
        </is>
      </c>
      <c r="B5120" s="1" t="n">
        <v>45902.39888888889</v>
      </c>
      <c r="C5120" s="1" t="n">
        <v>46011</v>
      </c>
      <c r="D5120" t="inlineStr">
        <is>
          <t>VÄSTRA GÖTALANDS LÄN</t>
        </is>
      </c>
      <c r="E5120" t="inlineStr">
        <is>
          <t>ORUST</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41690-2025</t>
        </is>
      </c>
      <c r="B5121" s="1" t="n">
        <v>45902.40304398148</v>
      </c>
      <c r="C5121" s="1" t="n">
        <v>46011</v>
      </c>
      <c r="D5121" t="inlineStr">
        <is>
          <t>VÄSTRA GÖTALANDS LÄN</t>
        </is>
      </c>
      <c r="E5121" t="inlineStr">
        <is>
          <t>BORÅS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41724-2025</t>
        </is>
      </c>
      <c r="B5122" s="1" t="n">
        <v>45902.4534375</v>
      </c>
      <c r="C5122" s="1" t="n">
        <v>46011</v>
      </c>
      <c r="D5122" t="inlineStr">
        <is>
          <t>VÄSTRA GÖTALANDS LÄN</t>
        </is>
      </c>
      <c r="E5122" t="inlineStr">
        <is>
          <t>VÅRGÅRDA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455-2025</t>
        </is>
      </c>
      <c r="B5123" s="1" t="n">
        <v>45664.40298611111</v>
      </c>
      <c r="C5123" s="1" t="n">
        <v>46011</v>
      </c>
      <c r="D5123" t="inlineStr">
        <is>
          <t>VÄSTRA GÖTALANDS LÄN</t>
        </is>
      </c>
      <c r="E5123" t="inlineStr">
        <is>
          <t>HERRLJUNGA</t>
        </is>
      </c>
      <c r="F5123" t="inlineStr">
        <is>
          <t>Kyrkan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59933-2023</t>
        </is>
      </c>
      <c r="B5124" s="1" t="n">
        <v>45257</v>
      </c>
      <c r="C5124" s="1" t="n">
        <v>46011</v>
      </c>
      <c r="D5124" t="inlineStr">
        <is>
          <t>VÄSTRA GÖTALANDS LÄN</t>
        </is>
      </c>
      <c r="E5124" t="inlineStr">
        <is>
          <t>ALE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44573-2024</t>
        </is>
      </c>
      <c r="B5125" s="1" t="n">
        <v>45574</v>
      </c>
      <c r="C5125" s="1" t="n">
        <v>46011</v>
      </c>
      <c r="D5125" t="inlineStr">
        <is>
          <t>VÄSTRA GÖTALANDS LÄN</t>
        </is>
      </c>
      <c r="E5125" t="inlineStr">
        <is>
          <t>MARK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40073-2025</t>
        </is>
      </c>
      <c r="B5126" s="1" t="n">
        <v>45894</v>
      </c>
      <c r="C5126" s="1" t="n">
        <v>46011</v>
      </c>
      <c r="D5126" t="inlineStr">
        <is>
          <t>VÄSTRA GÖTALANDS LÄN</t>
        </is>
      </c>
      <c r="E5126" t="inlineStr">
        <is>
          <t>ALINGSÅS</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488-2025</t>
        </is>
      </c>
      <c r="B5127" s="1" t="n">
        <v>45664.45827546297</v>
      </c>
      <c r="C5127" s="1" t="n">
        <v>46011</v>
      </c>
      <c r="D5127" t="inlineStr">
        <is>
          <t>VÄSTRA GÖTALANDS LÄN</t>
        </is>
      </c>
      <c r="E5127" t="inlineStr">
        <is>
          <t>GULLSPÅNG</t>
        </is>
      </c>
      <c r="G5127" t="n">
        <v>9.699999999999999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9523-2022</t>
        </is>
      </c>
      <c r="B5128" s="1" t="n">
        <v>44617</v>
      </c>
      <c r="C5128" s="1" t="n">
        <v>46011</v>
      </c>
      <c r="D5128" t="inlineStr">
        <is>
          <t>VÄSTRA GÖTALANDS LÄN</t>
        </is>
      </c>
      <c r="E5128" t="inlineStr">
        <is>
          <t>BENGTSFORS</t>
        </is>
      </c>
      <c r="F5128" t="inlineStr">
        <is>
          <t>Kyrkan</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27760-2025</t>
        </is>
      </c>
      <c r="B5129" s="1" t="n">
        <v>45816.57043981482</v>
      </c>
      <c r="C5129" s="1" t="n">
        <v>46011</v>
      </c>
      <c r="D5129" t="inlineStr">
        <is>
          <t>VÄSTRA GÖTALANDS LÄN</t>
        </is>
      </c>
      <c r="E5129" t="inlineStr">
        <is>
          <t>TRANEMO</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28313-2025</t>
        </is>
      </c>
      <c r="B5130" s="1" t="n">
        <v>45818.62532407408</v>
      </c>
      <c r="C5130" s="1" t="n">
        <v>46011</v>
      </c>
      <c r="D5130" t="inlineStr">
        <is>
          <t>VÄSTRA GÖTALANDS LÄN</t>
        </is>
      </c>
      <c r="E5130" t="inlineStr">
        <is>
          <t>MARIESTAD</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7532-2024</t>
        </is>
      </c>
      <c r="B5131" s="1" t="n">
        <v>45348.3955324074</v>
      </c>
      <c r="C5131" s="1" t="n">
        <v>46011</v>
      </c>
      <c r="D5131" t="inlineStr">
        <is>
          <t>VÄSTRA GÖTALANDS LÄN</t>
        </is>
      </c>
      <c r="E5131" t="inlineStr">
        <is>
          <t>ULRICEHAMN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6525-2025</t>
        </is>
      </c>
      <c r="B5132" s="1" t="n">
        <v>45699.66690972223</v>
      </c>
      <c r="C5132" s="1" t="n">
        <v>46011</v>
      </c>
      <c r="D5132" t="inlineStr">
        <is>
          <t>VÄSTRA GÖTALANDS LÄN</t>
        </is>
      </c>
      <c r="E5132" t="inlineStr">
        <is>
          <t>VÅRGÅRDA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13694-2024</t>
        </is>
      </c>
      <c r="B5133" s="1" t="n">
        <v>45390</v>
      </c>
      <c r="C5133" s="1" t="n">
        <v>46011</v>
      </c>
      <c r="D5133" t="inlineStr">
        <is>
          <t>VÄSTRA GÖTALANDS LÄN</t>
        </is>
      </c>
      <c r="E5133" t="inlineStr">
        <is>
          <t>HJO</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39412-2024</t>
        </is>
      </c>
      <c r="B5134" s="1" t="n">
        <v>45551.56788194444</v>
      </c>
      <c r="C5134" s="1" t="n">
        <v>46011</v>
      </c>
      <c r="D5134" t="inlineStr">
        <is>
          <t>VÄSTRA GÖTALANDS LÄN</t>
        </is>
      </c>
      <c r="E5134" t="inlineStr">
        <is>
          <t>TRANEMO</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41395-2025</t>
        </is>
      </c>
      <c r="B5135" s="1" t="n">
        <v>45901.31965277778</v>
      </c>
      <c r="C5135" s="1" t="n">
        <v>46011</v>
      </c>
      <c r="D5135" t="inlineStr">
        <is>
          <t>VÄSTRA GÖTALANDS LÄN</t>
        </is>
      </c>
      <c r="E5135" t="inlineStr">
        <is>
          <t>LYSEKIL</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41402-2025</t>
        </is>
      </c>
      <c r="B5136" s="1" t="n">
        <v>45901.34243055555</v>
      </c>
      <c r="C5136" s="1" t="n">
        <v>46011</v>
      </c>
      <c r="D5136" t="inlineStr">
        <is>
          <t>VÄSTRA GÖTALANDS LÄN</t>
        </is>
      </c>
      <c r="E5136" t="inlineStr">
        <is>
          <t>BENGTSFORS</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10429-2022</t>
        </is>
      </c>
      <c r="B5137" s="1" t="n">
        <v>44623</v>
      </c>
      <c r="C5137" s="1" t="n">
        <v>46011</v>
      </c>
      <c r="D5137" t="inlineStr">
        <is>
          <t>VÄSTRA GÖTALANDS LÄN</t>
        </is>
      </c>
      <c r="E5137" t="inlineStr">
        <is>
          <t>FALKÖPING</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56558-2024</t>
        </is>
      </c>
      <c r="B5138" s="1" t="n">
        <v>45625.57997685186</v>
      </c>
      <c r="C5138" s="1" t="n">
        <v>46011</v>
      </c>
      <c r="D5138" t="inlineStr">
        <is>
          <t>VÄSTRA GÖTALANDS LÄN</t>
        </is>
      </c>
      <c r="E5138" t="inlineStr">
        <is>
          <t>HÄRRYDA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7228-2025</t>
        </is>
      </c>
      <c r="B5139" s="1" t="n">
        <v>45702.50678240741</v>
      </c>
      <c r="C5139" s="1" t="n">
        <v>46011</v>
      </c>
      <c r="D5139" t="inlineStr">
        <is>
          <t>VÄSTRA GÖTALANDS LÄN</t>
        </is>
      </c>
      <c r="E5139" t="inlineStr">
        <is>
          <t>MELLERUD</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27907-2025</t>
        </is>
      </c>
      <c r="B5140" s="1" t="n">
        <v>45817.47203703703</v>
      </c>
      <c r="C5140" s="1" t="n">
        <v>46011</v>
      </c>
      <c r="D5140" t="inlineStr">
        <is>
          <t>VÄSTRA GÖTALANDS LÄN</t>
        </is>
      </c>
      <c r="E5140" t="inlineStr">
        <is>
          <t>DALS-ED</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27983-2025</t>
        </is>
      </c>
      <c r="B5141" s="1" t="n">
        <v>45817.57670138889</v>
      </c>
      <c r="C5141" s="1" t="n">
        <v>46011</v>
      </c>
      <c r="D5141" t="inlineStr">
        <is>
          <t>VÄSTRA GÖTALANDS LÄN</t>
        </is>
      </c>
      <c r="E5141" t="inlineStr">
        <is>
          <t>BENGTSFORS</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5023-2023</t>
        </is>
      </c>
      <c r="B5142" s="1" t="n">
        <v>44958.55733796296</v>
      </c>
      <c r="C5142" s="1" t="n">
        <v>46011</v>
      </c>
      <c r="D5142" t="inlineStr">
        <is>
          <t>VÄSTRA GÖTALANDS LÄN</t>
        </is>
      </c>
      <c r="E5142" t="inlineStr">
        <is>
          <t>TRANEMO</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38628-2024</t>
        </is>
      </c>
      <c r="B5143" s="1" t="n">
        <v>45546.74638888889</v>
      </c>
      <c r="C5143" s="1" t="n">
        <v>46011</v>
      </c>
      <c r="D5143" t="inlineStr">
        <is>
          <t>VÄSTRA GÖTALANDS LÄN</t>
        </is>
      </c>
      <c r="E5143" t="inlineStr">
        <is>
          <t>UDDEVALLA</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2998-2021</t>
        </is>
      </c>
      <c r="B5144" s="1" t="n">
        <v>44216</v>
      </c>
      <c r="C5144" s="1" t="n">
        <v>46011</v>
      </c>
      <c r="D5144" t="inlineStr">
        <is>
          <t>VÄSTRA GÖTALANDS LÄN</t>
        </is>
      </c>
      <c r="E5144" t="inlineStr">
        <is>
          <t>FÄRGELANDA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62189-2023</t>
        </is>
      </c>
      <c r="B5145" s="1" t="n">
        <v>45267.45653935185</v>
      </c>
      <c r="C5145" s="1" t="n">
        <v>46011</v>
      </c>
      <c r="D5145" t="inlineStr">
        <is>
          <t>VÄSTRA GÖTALANDS LÄN</t>
        </is>
      </c>
      <c r="E5145" t="inlineStr">
        <is>
          <t>HERRLJUNGA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28073-2024</t>
        </is>
      </c>
      <c r="B5146" s="1" t="n">
        <v>45476.58127314815</v>
      </c>
      <c r="C5146" s="1" t="n">
        <v>46011</v>
      </c>
      <c r="D5146" t="inlineStr">
        <is>
          <t>VÄSTRA GÖTALANDS LÄN</t>
        </is>
      </c>
      <c r="E5146" t="inlineStr">
        <is>
          <t>BOLLEBYGD</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40055-2025</t>
        </is>
      </c>
      <c r="B5147" s="1" t="n">
        <v>45894</v>
      </c>
      <c r="C5147" s="1" t="n">
        <v>46011</v>
      </c>
      <c r="D5147" t="inlineStr">
        <is>
          <t>VÄSTRA GÖTALANDS LÄN</t>
        </is>
      </c>
      <c r="E5147" t="inlineStr">
        <is>
          <t>ALINGSÅS</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13436-2025</t>
        </is>
      </c>
      <c r="B5148" s="1" t="n">
        <v>45735</v>
      </c>
      <c r="C5148" s="1" t="n">
        <v>46011</v>
      </c>
      <c r="D5148" t="inlineStr">
        <is>
          <t>VÄSTRA GÖTALANDS LÄN</t>
        </is>
      </c>
      <c r="E5148" t="inlineStr">
        <is>
          <t>BORÅS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28053-2025</t>
        </is>
      </c>
      <c r="B5149" s="1" t="n">
        <v>45817.65983796296</v>
      </c>
      <c r="C5149" s="1" t="n">
        <v>46011</v>
      </c>
      <c r="D5149" t="inlineStr">
        <is>
          <t>VÄSTRA GÖTALANDS LÄN</t>
        </is>
      </c>
      <c r="E5149" t="inlineStr">
        <is>
          <t>LERUM</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13297-2023</t>
        </is>
      </c>
      <c r="B5150" s="1" t="n">
        <v>45005.33422453704</v>
      </c>
      <c r="C5150" s="1" t="n">
        <v>46011</v>
      </c>
      <c r="D5150" t="inlineStr">
        <is>
          <t>VÄSTRA GÖTALANDS LÄN</t>
        </is>
      </c>
      <c r="E5150" t="inlineStr">
        <is>
          <t>HERRLJUNGA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4415-2023</t>
        </is>
      </c>
      <c r="B5151" s="1" t="n">
        <v>44952</v>
      </c>
      <c r="C5151" s="1" t="n">
        <v>46011</v>
      </c>
      <c r="D5151" t="inlineStr">
        <is>
          <t>VÄSTRA GÖTALANDS LÄN</t>
        </is>
      </c>
      <c r="E5151" t="inlineStr">
        <is>
          <t>FALKÖPING</t>
        </is>
      </c>
      <c r="G5151" t="n">
        <v>17.8</v>
      </c>
      <c r="H5151" t="n">
        <v>0</v>
      </c>
      <c r="I5151" t="n">
        <v>0</v>
      </c>
      <c r="J5151" t="n">
        <v>0</v>
      </c>
      <c r="K5151" t="n">
        <v>0</v>
      </c>
      <c r="L5151" t="n">
        <v>0</v>
      </c>
      <c r="M5151" t="n">
        <v>0</v>
      </c>
      <c r="N5151" t="n">
        <v>0</v>
      </c>
      <c r="O5151" t="n">
        <v>0</v>
      </c>
      <c r="P5151" t="n">
        <v>0</v>
      </c>
      <c r="Q5151" t="n">
        <v>0</v>
      </c>
      <c r="R5151" s="2" t="inlineStr"/>
    </row>
    <row r="5152" ht="15" customHeight="1">
      <c r="A5152" t="inlineStr">
        <is>
          <t>A 59527-2024</t>
        </is>
      </c>
      <c r="B5152" s="1" t="n">
        <v>45638.59061342593</v>
      </c>
      <c r="C5152" s="1" t="n">
        <v>46011</v>
      </c>
      <c r="D5152" t="inlineStr">
        <is>
          <t>VÄSTRA GÖTALANDS LÄN</t>
        </is>
      </c>
      <c r="E5152" t="inlineStr">
        <is>
          <t>VARA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12009-2025</t>
        </is>
      </c>
      <c r="B5153" s="1" t="n">
        <v>45728</v>
      </c>
      <c r="C5153" s="1" t="n">
        <v>46011</v>
      </c>
      <c r="D5153" t="inlineStr">
        <is>
          <t>VÄSTRA GÖTALANDS LÄN</t>
        </is>
      </c>
      <c r="E5153" t="inlineStr">
        <is>
          <t>VARA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60812-2023</t>
        </is>
      </c>
      <c r="B5154" s="1" t="n">
        <v>45260</v>
      </c>
      <c r="C5154" s="1" t="n">
        <v>46011</v>
      </c>
      <c r="D5154" t="inlineStr">
        <is>
          <t>VÄSTRA GÖTALANDS LÄN</t>
        </is>
      </c>
      <c r="E5154" t="inlineStr">
        <is>
          <t>MARIESTAD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28168-2025</t>
        </is>
      </c>
      <c r="B5155" s="1" t="n">
        <v>45818.37311342593</v>
      </c>
      <c r="C5155" s="1" t="n">
        <v>46011</v>
      </c>
      <c r="D5155" t="inlineStr">
        <is>
          <t>VÄSTRA GÖTALANDS LÄN</t>
        </is>
      </c>
      <c r="E5155" t="inlineStr">
        <is>
          <t>ALINGSÅS</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27734-2025</t>
        </is>
      </c>
      <c r="B5156" s="1" t="n">
        <v>45814.76371527778</v>
      </c>
      <c r="C5156" s="1" t="n">
        <v>46011</v>
      </c>
      <c r="D5156" t="inlineStr">
        <is>
          <t>VÄSTRA GÖTALANDS LÄN</t>
        </is>
      </c>
      <c r="E5156" t="inlineStr">
        <is>
          <t>TRANEMO</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60819-2023</t>
        </is>
      </c>
      <c r="B5157" s="1" t="n">
        <v>45260.73208333334</v>
      </c>
      <c r="C5157" s="1" t="n">
        <v>46011</v>
      </c>
      <c r="D5157" t="inlineStr">
        <is>
          <t>VÄSTRA GÖTALANDS LÄN</t>
        </is>
      </c>
      <c r="E5157" t="inlineStr">
        <is>
          <t>VARA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73822-2021</t>
        </is>
      </c>
      <c r="B5158" s="1" t="n">
        <v>44552</v>
      </c>
      <c r="C5158" s="1" t="n">
        <v>46011</v>
      </c>
      <c r="D5158" t="inlineStr">
        <is>
          <t>VÄSTRA GÖTALANDS LÄN</t>
        </is>
      </c>
      <c r="E5158" t="inlineStr">
        <is>
          <t>BORÅS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27756-2025</t>
        </is>
      </c>
      <c r="B5159" s="1" t="n">
        <v>45815.79688657408</v>
      </c>
      <c r="C5159" s="1" t="n">
        <v>46011</v>
      </c>
      <c r="D5159" t="inlineStr">
        <is>
          <t>VÄSTRA GÖTALANDS LÄN</t>
        </is>
      </c>
      <c r="E5159" t="inlineStr">
        <is>
          <t>TRANEMO</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27794-2025</t>
        </is>
      </c>
      <c r="B5160" s="1" t="n">
        <v>45816.77730324074</v>
      </c>
      <c r="C5160" s="1" t="n">
        <v>46011</v>
      </c>
      <c r="D5160" t="inlineStr">
        <is>
          <t>VÄSTRA GÖTALANDS LÄN</t>
        </is>
      </c>
      <c r="E5160" t="inlineStr">
        <is>
          <t>BORÅS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41806-2025</t>
        </is>
      </c>
      <c r="B5161" s="1" t="n">
        <v>45902.63655092593</v>
      </c>
      <c r="C5161" s="1" t="n">
        <v>46011</v>
      </c>
      <c r="D5161" t="inlineStr">
        <is>
          <t>VÄSTRA GÖTALANDS LÄN</t>
        </is>
      </c>
      <c r="E5161" t="inlineStr">
        <is>
          <t>BENGTSFORS</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6200-2021</t>
        </is>
      </c>
      <c r="B5162" s="1" t="n">
        <v>44234</v>
      </c>
      <c r="C5162" s="1" t="n">
        <v>46011</v>
      </c>
      <c r="D5162" t="inlineStr">
        <is>
          <t>VÄSTRA GÖTALANDS LÄN</t>
        </is>
      </c>
      <c r="E5162" t="inlineStr">
        <is>
          <t>BORÅS</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41813-2025</t>
        </is>
      </c>
      <c r="B5163" s="1" t="n">
        <v>45902.65517361111</v>
      </c>
      <c r="C5163" s="1" t="n">
        <v>46011</v>
      </c>
      <c r="D5163" t="inlineStr">
        <is>
          <t>VÄSTRA GÖTALANDS LÄN</t>
        </is>
      </c>
      <c r="E5163" t="inlineStr">
        <is>
          <t>MUNKEDAL</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15645-2023</t>
        </is>
      </c>
      <c r="B5164" s="1" t="n">
        <v>45021.3778587963</v>
      </c>
      <c r="C5164" s="1" t="n">
        <v>46011</v>
      </c>
      <c r="D5164" t="inlineStr">
        <is>
          <t>VÄSTRA GÖTALANDS LÄN</t>
        </is>
      </c>
      <c r="E5164" t="inlineStr">
        <is>
          <t>HERRLJUNGA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15649-2023</t>
        </is>
      </c>
      <c r="B5165" s="1" t="n">
        <v>45021.38078703704</v>
      </c>
      <c r="C5165" s="1" t="n">
        <v>46011</v>
      </c>
      <c r="D5165" t="inlineStr">
        <is>
          <t>VÄSTRA GÖTALANDS LÄN</t>
        </is>
      </c>
      <c r="E5165" t="inlineStr">
        <is>
          <t>GÖTENE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11239-2025</t>
        </is>
      </c>
      <c r="B5166" s="1" t="n">
        <v>45726.3712037037</v>
      </c>
      <c r="C5166" s="1" t="n">
        <v>46011</v>
      </c>
      <c r="D5166" t="inlineStr">
        <is>
          <t>VÄSTRA GÖTALANDS LÄN</t>
        </is>
      </c>
      <c r="E5166" t="inlineStr">
        <is>
          <t>SVENLJUNGA</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20275-2025</t>
        </is>
      </c>
      <c r="B5167" s="1" t="n">
        <v>45774.32253472223</v>
      </c>
      <c r="C5167" s="1" t="n">
        <v>46011</v>
      </c>
      <c r="D5167" t="inlineStr">
        <is>
          <t>VÄSTRA GÖTALANDS LÄN</t>
        </is>
      </c>
      <c r="E5167" t="inlineStr">
        <is>
          <t>VÅRGÅRDA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40671-2024</t>
        </is>
      </c>
      <c r="B5168" s="1" t="n">
        <v>45558.36265046296</v>
      </c>
      <c r="C5168" s="1" t="n">
        <v>46011</v>
      </c>
      <c r="D5168" t="inlineStr">
        <is>
          <t>VÄSTRA GÖTALANDS LÄN</t>
        </is>
      </c>
      <c r="E5168" t="inlineStr">
        <is>
          <t>TIBRO</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28315-2025</t>
        </is>
      </c>
      <c r="B5169" s="1" t="n">
        <v>45818.62765046296</v>
      </c>
      <c r="C5169" s="1" t="n">
        <v>46011</v>
      </c>
      <c r="D5169" t="inlineStr">
        <is>
          <t>VÄSTRA GÖTALANDS LÄN</t>
        </is>
      </c>
      <c r="E5169" t="inlineStr">
        <is>
          <t>KARLSBORG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28320-2025</t>
        </is>
      </c>
      <c r="B5170" s="1" t="n">
        <v>45818.6374537037</v>
      </c>
      <c r="C5170" s="1" t="n">
        <v>46011</v>
      </c>
      <c r="D5170" t="inlineStr">
        <is>
          <t>VÄSTRA GÖTALANDS LÄN</t>
        </is>
      </c>
      <c r="E5170" t="inlineStr">
        <is>
          <t>BENGTSFORS</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25410-2023</t>
        </is>
      </c>
      <c r="B5171" s="1" t="n">
        <v>45089.37612268519</v>
      </c>
      <c r="C5171" s="1" t="n">
        <v>46011</v>
      </c>
      <c r="D5171" t="inlineStr">
        <is>
          <t>VÄSTRA GÖTALANDS LÄN</t>
        </is>
      </c>
      <c r="E5171" t="inlineStr">
        <is>
          <t>TÖREBODA</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11773-2025</t>
        </is>
      </c>
      <c r="B5172" s="1" t="n">
        <v>45727</v>
      </c>
      <c r="C5172" s="1" t="n">
        <v>46011</v>
      </c>
      <c r="D5172" t="inlineStr">
        <is>
          <t>VÄSTRA GÖTALANDS LÄN</t>
        </is>
      </c>
      <c r="E5172" t="inlineStr">
        <is>
          <t>FALKÖPING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28049-2025</t>
        </is>
      </c>
      <c r="B5173" s="1" t="n">
        <v>45817.65653935185</v>
      </c>
      <c r="C5173" s="1" t="n">
        <v>46011</v>
      </c>
      <c r="D5173" t="inlineStr">
        <is>
          <t>VÄSTRA GÖTALANDS LÄN</t>
        </is>
      </c>
      <c r="E5173" t="inlineStr">
        <is>
          <t>VÅRGÅRDA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17685-2024</t>
        </is>
      </c>
      <c r="B5174" s="1" t="n">
        <v>45418.43171296296</v>
      </c>
      <c r="C5174" s="1" t="n">
        <v>46011</v>
      </c>
      <c r="D5174" t="inlineStr">
        <is>
          <t>VÄSTRA GÖTALANDS LÄN</t>
        </is>
      </c>
      <c r="E5174" t="inlineStr">
        <is>
          <t>MELLERUD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41454-2025</t>
        </is>
      </c>
      <c r="B5175" s="1" t="n">
        <v>45901.43854166667</v>
      </c>
      <c r="C5175" s="1" t="n">
        <v>46011</v>
      </c>
      <c r="D5175" t="inlineStr">
        <is>
          <t>VÄSTRA GÖTALANDS LÄN</t>
        </is>
      </c>
      <c r="E5175" t="inlineStr">
        <is>
          <t>ALINGSÅS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1997-2023</t>
        </is>
      </c>
      <c r="B5176" s="1" t="n">
        <v>44939</v>
      </c>
      <c r="C5176" s="1" t="n">
        <v>46011</v>
      </c>
      <c r="D5176" t="inlineStr">
        <is>
          <t>VÄSTRA GÖTALANDS LÄN</t>
        </is>
      </c>
      <c r="E5176" t="inlineStr">
        <is>
          <t>FÄRGELANDA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49768-2023</t>
        </is>
      </c>
      <c r="B5177" s="1" t="n">
        <v>45212.56842592593</v>
      </c>
      <c r="C5177" s="1" t="n">
        <v>46011</v>
      </c>
      <c r="D5177" t="inlineStr">
        <is>
          <t>VÄSTRA GÖTALANDS LÄN</t>
        </is>
      </c>
      <c r="E5177" t="inlineStr">
        <is>
          <t>ULRICEHAMN</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41705-2025</t>
        </is>
      </c>
      <c r="B5178" s="1" t="n">
        <v>45902.42136574074</v>
      </c>
      <c r="C5178" s="1" t="n">
        <v>46011</v>
      </c>
      <c r="D5178" t="inlineStr">
        <is>
          <t>VÄSTRA GÖTALANDS LÄN</t>
        </is>
      </c>
      <c r="E5178" t="inlineStr">
        <is>
          <t>SKARA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2004-2023</t>
        </is>
      </c>
      <c r="B5179" s="1" t="n">
        <v>44939</v>
      </c>
      <c r="C5179" s="1" t="n">
        <v>46011</v>
      </c>
      <c r="D5179" t="inlineStr">
        <is>
          <t>VÄSTRA GÖTALANDS LÄN</t>
        </is>
      </c>
      <c r="E5179" t="inlineStr">
        <is>
          <t>TANUM</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27755-2025</t>
        </is>
      </c>
      <c r="B5180" s="1" t="n">
        <v>45815.76396990741</v>
      </c>
      <c r="C5180" s="1" t="n">
        <v>46011</v>
      </c>
      <c r="D5180" t="inlineStr">
        <is>
          <t>VÄSTRA GÖTALANDS LÄN</t>
        </is>
      </c>
      <c r="E5180" t="inlineStr">
        <is>
          <t>FÄRGELANDA</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27793-2025</t>
        </is>
      </c>
      <c r="B5181" s="1" t="n">
        <v>45816.7725</v>
      </c>
      <c r="C5181" s="1" t="n">
        <v>46011</v>
      </c>
      <c r="D5181" t="inlineStr">
        <is>
          <t>VÄSTRA GÖTALANDS LÄN</t>
        </is>
      </c>
      <c r="E5181" t="inlineStr">
        <is>
          <t>BORÅS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41795-2025</t>
        </is>
      </c>
      <c r="B5182" s="1" t="n">
        <v>45902.60028935185</v>
      </c>
      <c r="C5182" s="1" t="n">
        <v>46011</v>
      </c>
      <c r="D5182" t="inlineStr">
        <is>
          <t>VÄSTRA GÖTALANDS LÄN</t>
        </is>
      </c>
      <c r="E5182" t="inlineStr">
        <is>
          <t>VÄNERSBORG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41567-2025</t>
        </is>
      </c>
      <c r="B5183" s="1" t="n">
        <v>45901.60652777777</v>
      </c>
      <c r="C5183" s="1" t="n">
        <v>46011</v>
      </c>
      <c r="D5183" t="inlineStr">
        <is>
          <t>VÄSTRA GÖTALANDS LÄN</t>
        </is>
      </c>
      <c r="E5183" t="inlineStr">
        <is>
          <t>UDDEVALLA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3144-2023</t>
        </is>
      </c>
      <c r="B5184" s="1" t="n">
        <v>44946</v>
      </c>
      <c r="C5184" s="1" t="n">
        <v>46011</v>
      </c>
      <c r="D5184" t="inlineStr">
        <is>
          <t>VÄSTRA GÖTALANDS LÄN</t>
        </is>
      </c>
      <c r="E5184" t="inlineStr">
        <is>
          <t>SKARA</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6231-2024</t>
        </is>
      </c>
      <c r="B5185" s="1" t="n">
        <v>45337.66972222222</v>
      </c>
      <c r="C5185" s="1" t="n">
        <v>46011</v>
      </c>
      <c r="D5185" t="inlineStr">
        <is>
          <t>VÄSTRA GÖTALANDS LÄN</t>
        </is>
      </c>
      <c r="E5185" t="inlineStr">
        <is>
          <t>HERRLJUNGA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41492-2025</t>
        </is>
      </c>
      <c r="B5186" s="1" t="n">
        <v>45901.48925925926</v>
      </c>
      <c r="C5186" s="1" t="n">
        <v>46011</v>
      </c>
      <c r="D5186" t="inlineStr">
        <is>
          <t>VÄSTRA GÖTALANDS LÄN</t>
        </is>
      </c>
      <c r="E5186" t="inlineStr">
        <is>
          <t>ULRICEHAMN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41756-2025</t>
        </is>
      </c>
      <c r="B5187" s="1" t="n">
        <v>45902.50689814815</v>
      </c>
      <c r="C5187" s="1" t="n">
        <v>46011</v>
      </c>
      <c r="D5187" t="inlineStr">
        <is>
          <t>VÄSTRA GÖTALANDS LÄN</t>
        </is>
      </c>
      <c r="E5187" t="inlineStr">
        <is>
          <t>LILLA EDET</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41590-2025</t>
        </is>
      </c>
      <c r="B5188" s="1" t="n">
        <v>45901.63255787037</v>
      </c>
      <c r="C5188" s="1" t="n">
        <v>46011</v>
      </c>
      <c r="D5188" t="inlineStr">
        <is>
          <t>VÄSTRA GÖTALANDS LÄN</t>
        </is>
      </c>
      <c r="E5188" t="inlineStr">
        <is>
          <t>VÅRGÅRDA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41625-2025</t>
        </is>
      </c>
      <c r="B5189" s="1" t="n">
        <v>45901.7124537037</v>
      </c>
      <c r="C5189" s="1" t="n">
        <v>46011</v>
      </c>
      <c r="D5189" t="inlineStr">
        <is>
          <t>VÄSTRA GÖTALANDS LÄN</t>
        </is>
      </c>
      <c r="E5189" t="inlineStr">
        <is>
          <t>VÅRGÅRDA</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54208-2022</t>
        </is>
      </c>
      <c r="B5190" s="1" t="n">
        <v>44881.7462962963</v>
      </c>
      <c r="C5190" s="1" t="n">
        <v>46011</v>
      </c>
      <c r="D5190" t="inlineStr">
        <is>
          <t>VÄSTRA GÖTALANDS LÄN</t>
        </is>
      </c>
      <c r="E5190" t="inlineStr">
        <is>
          <t>ULRICEHAMN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41758-2025</t>
        </is>
      </c>
      <c r="B5191" s="1" t="n">
        <v>45902.51023148148</v>
      </c>
      <c r="C5191" s="1" t="n">
        <v>46011</v>
      </c>
      <c r="D5191" t="inlineStr">
        <is>
          <t>VÄSTRA GÖTALANDS LÄN</t>
        </is>
      </c>
      <c r="E5191" t="inlineStr">
        <is>
          <t>LILLA EDET</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41760-2025</t>
        </is>
      </c>
      <c r="B5192" s="1" t="n">
        <v>45902.51596064815</v>
      </c>
      <c r="C5192" s="1" t="n">
        <v>46011</v>
      </c>
      <c r="D5192" t="inlineStr">
        <is>
          <t>VÄSTRA GÖTALANDS LÄN</t>
        </is>
      </c>
      <c r="E5192" t="inlineStr">
        <is>
          <t>LILLA EDET</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41761-2025</t>
        </is>
      </c>
      <c r="B5193" s="1" t="n">
        <v>45902.51922453703</v>
      </c>
      <c r="C5193" s="1" t="n">
        <v>46011</v>
      </c>
      <c r="D5193" t="inlineStr">
        <is>
          <t>VÄSTRA GÖTALANDS LÄN</t>
        </is>
      </c>
      <c r="E5193" t="inlineStr">
        <is>
          <t>LILLA EDET</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28151-2025</t>
        </is>
      </c>
      <c r="B5194" s="1" t="n">
        <v>45818.35608796297</v>
      </c>
      <c r="C5194" s="1" t="n">
        <v>46011</v>
      </c>
      <c r="D5194" t="inlineStr">
        <is>
          <t>VÄSTRA GÖTALANDS LÄN</t>
        </is>
      </c>
      <c r="E5194" t="inlineStr">
        <is>
          <t>BORÅS</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28152-2025</t>
        </is>
      </c>
      <c r="B5195" s="1" t="n">
        <v>45818.35734953704</v>
      </c>
      <c r="C5195" s="1" t="n">
        <v>46011</v>
      </c>
      <c r="D5195" t="inlineStr">
        <is>
          <t>VÄSTRA GÖTALANDS LÄN</t>
        </is>
      </c>
      <c r="E5195" t="inlineStr">
        <is>
          <t>VÅRGÅRDA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4114-2023</t>
        </is>
      </c>
      <c r="B5196" s="1" t="n">
        <v>44952</v>
      </c>
      <c r="C5196" s="1" t="n">
        <v>46011</v>
      </c>
      <c r="D5196" t="inlineStr">
        <is>
          <t>VÄSTRA GÖTALANDS LÄN</t>
        </is>
      </c>
      <c r="E5196" t="inlineStr">
        <is>
          <t>DALS-ED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41777-2025</t>
        </is>
      </c>
      <c r="B5197" s="1" t="n">
        <v>45902.57</v>
      </c>
      <c r="C5197" s="1" t="n">
        <v>46011</v>
      </c>
      <c r="D5197" t="inlineStr">
        <is>
          <t>VÄSTRA GÖTALANDS LÄN</t>
        </is>
      </c>
      <c r="E5197" t="inlineStr">
        <is>
          <t>TANUM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41814-2025</t>
        </is>
      </c>
      <c r="B5198" s="1" t="n">
        <v>45902</v>
      </c>
      <c r="C5198" s="1" t="n">
        <v>46011</v>
      </c>
      <c r="D5198" t="inlineStr">
        <is>
          <t>VÄSTRA GÖTALANDS LÄN</t>
        </is>
      </c>
      <c r="E5198" t="inlineStr">
        <is>
          <t>ÅMÅL</t>
        </is>
      </c>
      <c r="F5198" t="inlineStr">
        <is>
          <t>Kyrkan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32748-2024</t>
        </is>
      </c>
      <c r="B5199" s="1" t="n">
        <v>45516.45503472222</v>
      </c>
      <c r="C5199" s="1" t="n">
        <v>46011</v>
      </c>
      <c r="D5199" t="inlineStr">
        <is>
          <t>VÄSTRA GÖTALANDS LÄN</t>
        </is>
      </c>
      <c r="E5199" t="inlineStr">
        <is>
          <t>SVENLJUNGA</t>
        </is>
      </c>
      <c r="F5199" t="inlineStr">
        <is>
          <t>Kommuner</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3932-2022</t>
        </is>
      </c>
      <c r="B5200" s="1" t="n">
        <v>44587.54376157407</v>
      </c>
      <c r="C5200" s="1" t="n">
        <v>46011</v>
      </c>
      <c r="D5200" t="inlineStr">
        <is>
          <t>VÄSTRA GÖTALANDS LÄN</t>
        </is>
      </c>
      <c r="E5200" t="inlineStr">
        <is>
          <t>GÖTENE</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32794-2024</t>
        </is>
      </c>
      <c r="B5201" s="1" t="n">
        <v>45516.55818287037</v>
      </c>
      <c r="C5201" s="1" t="n">
        <v>46011</v>
      </c>
      <c r="D5201" t="inlineStr">
        <is>
          <t>VÄSTRA GÖTALANDS LÄN</t>
        </is>
      </c>
      <c r="E5201" t="inlineStr">
        <is>
          <t>MARIESTAD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32798-2024</t>
        </is>
      </c>
      <c r="B5202" s="1" t="n">
        <v>45516.56214120371</v>
      </c>
      <c r="C5202" s="1" t="n">
        <v>46011</v>
      </c>
      <c r="D5202" t="inlineStr">
        <is>
          <t>VÄSTRA GÖTALANDS LÄN</t>
        </is>
      </c>
      <c r="E5202" t="inlineStr">
        <is>
          <t>MARIESTAD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28211-2025</t>
        </is>
      </c>
      <c r="B5203" s="1" t="n">
        <v>45818.45789351852</v>
      </c>
      <c r="C5203" s="1" t="n">
        <v>46011</v>
      </c>
      <c r="D5203" t="inlineStr">
        <is>
          <t>VÄSTRA GÖTALANDS LÄN</t>
        </is>
      </c>
      <c r="E5203" t="inlineStr">
        <is>
          <t>HJO</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28228-2025</t>
        </is>
      </c>
      <c r="B5204" s="1" t="n">
        <v>45818.48547453704</v>
      </c>
      <c r="C5204" s="1" t="n">
        <v>46011</v>
      </c>
      <c r="D5204" t="inlineStr">
        <is>
          <t>VÄSTRA GÖTALANDS LÄN</t>
        </is>
      </c>
      <c r="E5204" t="inlineStr">
        <is>
          <t>UDDEVALLA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9368-2024</t>
        </is>
      </c>
      <c r="B5205" s="1" t="n">
        <v>45359</v>
      </c>
      <c r="C5205" s="1" t="n">
        <v>46011</v>
      </c>
      <c r="D5205" t="inlineStr">
        <is>
          <t>VÄSTRA GÖTALANDS LÄN</t>
        </is>
      </c>
      <c r="E5205" t="inlineStr">
        <is>
          <t>TRANEMO</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41709-2025</t>
        </is>
      </c>
      <c r="B5206" s="1" t="n">
        <v>45902.42664351852</v>
      </c>
      <c r="C5206" s="1" t="n">
        <v>46011</v>
      </c>
      <c r="D5206" t="inlineStr">
        <is>
          <t>VÄSTRA GÖTALANDS LÄN</t>
        </is>
      </c>
      <c r="E5206" t="inlineStr">
        <is>
          <t>DALS-ED</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41687-2025</t>
        </is>
      </c>
      <c r="B5207" s="1" t="n">
        <v>45902.39866898148</v>
      </c>
      <c r="C5207" s="1" t="n">
        <v>46011</v>
      </c>
      <c r="D5207" t="inlineStr">
        <is>
          <t>VÄSTRA GÖTALANDS LÄN</t>
        </is>
      </c>
      <c r="E5207" t="inlineStr">
        <is>
          <t>BORÅS</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28319-2025</t>
        </is>
      </c>
      <c r="B5208" s="1" t="n">
        <v>45818.63456018519</v>
      </c>
      <c r="C5208" s="1" t="n">
        <v>46011</v>
      </c>
      <c r="D5208" t="inlineStr">
        <is>
          <t>VÄSTRA GÖTALANDS LÄN</t>
        </is>
      </c>
      <c r="E5208" t="inlineStr">
        <is>
          <t>MELLERUD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41715-2025</t>
        </is>
      </c>
      <c r="B5209" s="1" t="n">
        <v>45902.43572916667</v>
      </c>
      <c r="C5209" s="1" t="n">
        <v>46011</v>
      </c>
      <c r="D5209" t="inlineStr">
        <is>
          <t>VÄSTRA GÖTALANDS LÄN</t>
        </is>
      </c>
      <c r="E5209" t="inlineStr">
        <is>
          <t>MUNKEDAL</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9446-2024</t>
        </is>
      </c>
      <c r="B5210" s="1" t="n">
        <v>45359.51115740741</v>
      </c>
      <c r="C5210" s="1" t="n">
        <v>46011</v>
      </c>
      <c r="D5210" t="inlineStr">
        <is>
          <t>VÄSTRA GÖTALANDS LÄN</t>
        </is>
      </c>
      <c r="E5210" t="inlineStr">
        <is>
          <t>MARK</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1566-2023</t>
        </is>
      </c>
      <c r="B5211" s="1" t="n">
        <v>44937.60599537037</v>
      </c>
      <c r="C5211" s="1" t="n">
        <v>46011</v>
      </c>
      <c r="D5211" t="inlineStr">
        <is>
          <t>VÄSTRA GÖTALANDS LÄN</t>
        </is>
      </c>
      <c r="E5211" t="inlineStr">
        <is>
          <t>SKARA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5402-2022</t>
        </is>
      </c>
      <c r="B5212" s="1" t="n">
        <v>44595</v>
      </c>
      <c r="C5212" s="1" t="n">
        <v>46011</v>
      </c>
      <c r="D5212" t="inlineStr">
        <is>
          <t>VÄSTRA GÖTALANDS LÄN</t>
        </is>
      </c>
      <c r="E5212" t="inlineStr">
        <is>
          <t>KARLSBORG</t>
        </is>
      </c>
      <c r="F5212" t="inlineStr">
        <is>
          <t>Övriga Aktiebolag</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28076-2025</t>
        </is>
      </c>
      <c r="B5213" s="1" t="n">
        <v>45817.68100694445</v>
      </c>
      <c r="C5213" s="1" t="n">
        <v>46011</v>
      </c>
      <c r="D5213" t="inlineStr">
        <is>
          <t>VÄSTRA GÖTALANDS LÄN</t>
        </is>
      </c>
      <c r="E5213" t="inlineStr">
        <is>
          <t>SVENLJUNGA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28052-2025</t>
        </is>
      </c>
      <c r="B5214" s="1" t="n">
        <v>45817.65847222223</v>
      </c>
      <c r="C5214" s="1" t="n">
        <v>46011</v>
      </c>
      <c r="D5214" t="inlineStr">
        <is>
          <t>VÄSTRA GÖTALANDS LÄN</t>
        </is>
      </c>
      <c r="E5214" t="inlineStr">
        <is>
          <t>VÅRGÅRDA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5439-2022</t>
        </is>
      </c>
      <c r="B5215" s="1" t="n">
        <v>44595</v>
      </c>
      <c r="C5215" s="1" t="n">
        <v>46011</v>
      </c>
      <c r="D5215" t="inlineStr">
        <is>
          <t>VÄSTRA GÖTALANDS LÄN</t>
        </is>
      </c>
      <c r="E5215" t="inlineStr">
        <is>
          <t>KARLSBORG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28074-2025</t>
        </is>
      </c>
      <c r="B5216" s="1" t="n">
        <v>45817.67849537037</v>
      </c>
      <c r="C5216" s="1" t="n">
        <v>46011</v>
      </c>
      <c r="D5216" t="inlineStr">
        <is>
          <t>VÄSTRA GÖTALANDS LÄN</t>
        </is>
      </c>
      <c r="E5216" t="inlineStr">
        <is>
          <t>TIDAHOLM</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41331-2025</t>
        </is>
      </c>
      <c r="B5217" s="1" t="n">
        <v>45899.35118055555</v>
      </c>
      <c r="C5217" s="1" t="n">
        <v>46011</v>
      </c>
      <c r="D5217" t="inlineStr">
        <is>
          <t>VÄSTRA GÖTALANDS LÄN</t>
        </is>
      </c>
      <c r="E5217" t="inlineStr">
        <is>
          <t>VARA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41350-2025</t>
        </is>
      </c>
      <c r="B5218" s="1" t="n">
        <v>45899.65248842593</v>
      </c>
      <c r="C5218" s="1" t="n">
        <v>46011</v>
      </c>
      <c r="D5218" t="inlineStr">
        <is>
          <t>VÄSTRA GÖTALANDS LÄN</t>
        </is>
      </c>
      <c r="E5218" t="inlineStr">
        <is>
          <t>KARLSBORG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41451-2025</t>
        </is>
      </c>
      <c r="B5219" s="1" t="n">
        <v>45901.43251157407</v>
      </c>
      <c r="C5219" s="1" t="n">
        <v>46011</v>
      </c>
      <c r="D5219" t="inlineStr">
        <is>
          <t>VÄSTRA GÖTALANDS LÄN</t>
        </is>
      </c>
      <c r="E5219" t="inlineStr">
        <is>
          <t>ALINGSÅS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41452-2025</t>
        </is>
      </c>
      <c r="B5220" s="1" t="n">
        <v>45901.43643518518</v>
      </c>
      <c r="C5220" s="1" t="n">
        <v>46011</v>
      </c>
      <c r="D5220" t="inlineStr">
        <is>
          <t>VÄSTRA GÖTALANDS LÄN</t>
        </is>
      </c>
      <c r="E5220" t="inlineStr">
        <is>
          <t>ALINGSÅS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28190-2025</t>
        </is>
      </c>
      <c r="B5221" s="1" t="n">
        <v>45818.41606481482</v>
      </c>
      <c r="C5221" s="1" t="n">
        <v>46011</v>
      </c>
      <c r="D5221" t="inlineStr">
        <is>
          <t>VÄSTRA GÖTALANDS LÄN</t>
        </is>
      </c>
      <c r="E5221" t="inlineStr">
        <is>
          <t>TIDAHOLM</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7895-2024</t>
        </is>
      </c>
      <c r="B5222" s="1" t="n">
        <v>45350.41543981482</v>
      </c>
      <c r="C5222" s="1" t="n">
        <v>46011</v>
      </c>
      <c r="D5222" t="inlineStr">
        <is>
          <t>VÄSTRA GÖTALANDS LÄN</t>
        </is>
      </c>
      <c r="E5222" t="inlineStr">
        <is>
          <t>FALKÖPING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27867-2025</t>
        </is>
      </c>
      <c r="B5223" s="1" t="n">
        <v>45817.42643518518</v>
      </c>
      <c r="C5223" s="1" t="n">
        <v>46011</v>
      </c>
      <c r="D5223" t="inlineStr">
        <is>
          <t>VÄSTRA GÖTALANDS LÄN</t>
        </is>
      </c>
      <c r="E5223" t="inlineStr">
        <is>
          <t>VÄNERSBORG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345-2024</t>
        </is>
      </c>
      <c r="B5224" s="1" t="n">
        <v>45295</v>
      </c>
      <c r="C5224" s="1" t="n">
        <v>46011</v>
      </c>
      <c r="D5224" t="inlineStr">
        <is>
          <t>VÄSTRA GÖTALANDS LÄN</t>
        </is>
      </c>
      <c r="E5224" t="inlineStr">
        <is>
          <t>ULRICEHAMN</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27785-2025</t>
        </is>
      </c>
      <c r="B5225" s="1" t="n">
        <v>45816.69167824074</v>
      </c>
      <c r="C5225" s="1" t="n">
        <v>46011</v>
      </c>
      <c r="D5225" t="inlineStr">
        <is>
          <t>VÄSTRA GÖTALANDS LÄN</t>
        </is>
      </c>
      <c r="E5225" t="inlineStr">
        <is>
          <t>SVENLJUNGA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7912-2024</t>
        </is>
      </c>
      <c r="B5226" s="1" t="n">
        <v>45350</v>
      </c>
      <c r="C5226" s="1" t="n">
        <v>46011</v>
      </c>
      <c r="D5226" t="inlineStr">
        <is>
          <t>VÄSTRA GÖTALANDS LÄN</t>
        </is>
      </c>
      <c r="E5226" t="inlineStr">
        <is>
          <t>LILLA EDET</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7962-2024</t>
        </is>
      </c>
      <c r="B5227" s="1" t="n">
        <v>45350.57357638889</v>
      </c>
      <c r="C5227" s="1" t="n">
        <v>46011</v>
      </c>
      <c r="D5227" t="inlineStr">
        <is>
          <t>VÄSTRA GÖTALANDS LÄN</t>
        </is>
      </c>
      <c r="E5227" t="inlineStr">
        <is>
          <t>VÅRGÅRDA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37906-2024</t>
        </is>
      </c>
      <c r="B5228" s="1" t="n">
        <v>45544</v>
      </c>
      <c r="C5228" s="1" t="n">
        <v>46011</v>
      </c>
      <c r="D5228" t="inlineStr">
        <is>
          <t>VÄSTRA GÖTALANDS LÄN</t>
        </is>
      </c>
      <c r="E5228" t="inlineStr">
        <is>
          <t>SVENLJUNGA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37908-2024</t>
        </is>
      </c>
      <c r="B5229" s="1" t="n">
        <v>45544</v>
      </c>
      <c r="C5229" s="1" t="n">
        <v>46011</v>
      </c>
      <c r="D5229" t="inlineStr">
        <is>
          <t>VÄSTRA GÖTALANDS LÄN</t>
        </is>
      </c>
      <c r="E5229" t="inlineStr">
        <is>
          <t>SVENLJUNGA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37909-2024</t>
        </is>
      </c>
      <c r="B5230" s="1" t="n">
        <v>45544</v>
      </c>
      <c r="C5230" s="1" t="n">
        <v>46011</v>
      </c>
      <c r="D5230" t="inlineStr">
        <is>
          <t>VÄSTRA GÖTALANDS LÄN</t>
        </is>
      </c>
      <c r="E5230" t="inlineStr">
        <is>
          <t>SVENLJUNGA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41506-2025</t>
        </is>
      </c>
      <c r="B5231" s="1" t="n">
        <v>45901.52666666666</v>
      </c>
      <c r="C5231" s="1" t="n">
        <v>46011</v>
      </c>
      <c r="D5231" t="inlineStr">
        <is>
          <t>VÄSTRA GÖTALANDS LÄN</t>
        </is>
      </c>
      <c r="E5231" t="inlineStr">
        <is>
          <t>TANUM</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41759-2025</t>
        </is>
      </c>
      <c r="B5232" s="1" t="n">
        <v>45902.51219907407</v>
      </c>
      <c r="C5232" s="1" t="n">
        <v>46011</v>
      </c>
      <c r="D5232" t="inlineStr">
        <is>
          <t>VÄSTRA GÖTALANDS LÄN</t>
        </is>
      </c>
      <c r="E5232" t="inlineStr">
        <is>
          <t>LILLA EDET</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27908-2025</t>
        </is>
      </c>
      <c r="B5233" s="1" t="n">
        <v>45817.4727199074</v>
      </c>
      <c r="C5233" s="1" t="n">
        <v>46011</v>
      </c>
      <c r="D5233" t="inlineStr">
        <is>
          <t>VÄSTRA GÖTALANDS LÄN</t>
        </is>
      </c>
      <c r="E5233" t="inlineStr">
        <is>
          <t>MELLERUD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13162-2023</t>
        </is>
      </c>
      <c r="B5234" s="1" t="n">
        <v>45002</v>
      </c>
      <c r="C5234" s="1" t="n">
        <v>46011</v>
      </c>
      <c r="D5234" t="inlineStr">
        <is>
          <t>VÄSTRA GÖTALANDS LÄN</t>
        </is>
      </c>
      <c r="E5234" t="inlineStr">
        <is>
          <t>MUNKEDAL</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13964-2023</t>
        </is>
      </c>
      <c r="B5235" s="1" t="n">
        <v>45007</v>
      </c>
      <c r="C5235" s="1" t="n">
        <v>46011</v>
      </c>
      <c r="D5235" t="inlineStr">
        <is>
          <t>VÄSTRA GÖTALANDS LÄN</t>
        </is>
      </c>
      <c r="E5235" t="inlineStr">
        <is>
          <t>TIDAHOLM</t>
        </is>
      </c>
      <c r="G5235" t="n">
        <v>13.8</v>
      </c>
      <c r="H5235" t="n">
        <v>0</v>
      </c>
      <c r="I5235" t="n">
        <v>0</v>
      </c>
      <c r="J5235" t="n">
        <v>0</v>
      </c>
      <c r="K5235" t="n">
        <v>0</v>
      </c>
      <c r="L5235" t="n">
        <v>0</v>
      </c>
      <c r="M5235" t="n">
        <v>0</v>
      </c>
      <c r="N5235" t="n">
        <v>0</v>
      </c>
      <c r="O5235" t="n">
        <v>0</v>
      </c>
      <c r="P5235" t="n">
        <v>0</v>
      </c>
      <c r="Q5235" t="n">
        <v>0</v>
      </c>
      <c r="R5235" s="2" t="inlineStr"/>
    </row>
    <row r="5236" ht="15" customHeight="1">
      <c r="A5236" t="inlineStr">
        <is>
          <t>A 28863-2025</t>
        </is>
      </c>
      <c r="B5236" s="1" t="n">
        <v>45820</v>
      </c>
      <c r="C5236" s="1" t="n">
        <v>46011</v>
      </c>
      <c r="D5236" t="inlineStr">
        <is>
          <t>VÄSTRA GÖTALANDS LÄN</t>
        </is>
      </c>
      <c r="E5236" t="inlineStr">
        <is>
          <t>MELLERUD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28379-2025</t>
        </is>
      </c>
      <c r="B5237" s="1" t="n">
        <v>45819.30428240741</v>
      </c>
      <c r="C5237" s="1" t="n">
        <v>46011</v>
      </c>
      <c r="D5237" t="inlineStr">
        <is>
          <t>VÄSTRA GÖTALANDS LÄN</t>
        </is>
      </c>
      <c r="E5237" t="inlineStr">
        <is>
          <t>MUNKEDAL</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28384-2025</t>
        </is>
      </c>
      <c r="B5238" s="1" t="n">
        <v>45819.31267361111</v>
      </c>
      <c r="C5238" s="1" t="n">
        <v>46011</v>
      </c>
      <c r="D5238" t="inlineStr">
        <is>
          <t>VÄSTRA GÖTALANDS LÄN</t>
        </is>
      </c>
      <c r="E5238" t="inlineStr">
        <is>
          <t>MUNKEDAL</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28902-2025</t>
        </is>
      </c>
      <c r="B5239" s="1" t="n">
        <v>45820.64241898148</v>
      </c>
      <c r="C5239" s="1" t="n">
        <v>46011</v>
      </c>
      <c r="D5239" t="inlineStr">
        <is>
          <t>VÄSTRA GÖTALANDS LÄN</t>
        </is>
      </c>
      <c r="E5239" t="inlineStr">
        <is>
          <t>MARIESTAD</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12361-2023</t>
        </is>
      </c>
      <c r="B5240" s="1" t="n">
        <v>44999</v>
      </c>
      <c r="C5240" s="1" t="n">
        <v>46011</v>
      </c>
      <c r="D5240" t="inlineStr">
        <is>
          <t>VÄSTRA GÖTALANDS LÄN</t>
        </is>
      </c>
      <c r="E5240" t="inlineStr">
        <is>
          <t>MARIESTAD</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58717-2021</t>
        </is>
      </c>
      <c r="B5241" s="1" t="n">
        <v>44489</v>
      </c>
      <c r="C5241" s="1" t="n">
        <v>46011</v>
      </c>
      <c r="D5241" t="inlineStr">
        <is>
          <t>VÄSTRA GÖTALANDS LÄN</t>
        </is>
      </c>
      <c r="E5241" t="inlineStr">
        <is>
          <t>FALKÖPING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28386-2025</t>
        </is>
      </c>
      <c r="B5242" s="1" t="n">
        <v>45819.32221064815</v>
      </c>
      <c r="C5242" s="1" t="n">
        <v>46011</v>
      </c>
      <c r="D5242" t="inlineStr">
        <is>
          <t>VÄSTRA GÖTALANDS LÄN</t>
        </is>
      </c>
      <c r="E5242" t="inlineStr">
        <is>
          <t>MUNKEDAL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8223-2024</t>
        </is>
      </c>
      <c r="B5243" s="1" t="n">
        <v>45351.89471064815</v>
      </c>
      <c r="C5243" s="1" t="n">
        <v>46011</v>
      </c>
      <c r="D5243" t="inlineStr">
        <is>
          <t>VÄSTRA GÖTALANDS LÄN</t>
        </is>
      </c>
      <c r="E5243" t="inlineStr">
        <is>
          <t>FÄRGELANDA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8224-2024</t>
        </is>
      </c>
      <c r="B5244" s="1" t="n">
        <v>45351.89734953704</v>
      </c>
      <c r="C5244" s="1" t="n">
        <v>46011</v>
      </c>
      <c r="D5244" t="inlineStr">
        <is>
          <t>VÄSTRA GÖTALANDS LÄN</t>
        </is>
      </c>
      <c r="E5244" t="inlineStr">
        <is>
          <t>FÄRGELANDA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60207-2022</t>
        </is>
      </c>
      <c r="B5245" s="1" t="n">
        <v>44910</v>
      </c>
      <c r="C5245" s="1" t="n">
        <v>46011</v>
      </c>
      <c r="D5245" t="inlineStr">
        <is>
          <t>VÄSTRA GÖTALANDS LÄN</t>
        </is>
      </c>
      <c r="E5245" t="inlineStr">
        <is>
          <t>TIDAHOLM</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41229-2024</t>
        </is>
      </c>
      <c r="B5246" s="1" t="n">
        <v>45559.56221064815</v>
      </c>
      <c r="C5246" s="1" t="n">
        <v>46011</v>
      </c>
      <c r="D5246" t="inlineStr">
        <is>
          <t>VÄSTRA GÖTALANDS LÄN</t>
        </is>
      </c>
      <c r="E5246" t="inlineStr">
        <is>
          <t>BENGTSFORS</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41555-2025</t>
        </is>
      </c>
      <c r="B5247" s="1" t="n">
        <v>45901.59224537037</v>
      </c>
      <c r="C5247" s="1" t="n">
        <v>46011</v>
      </c>
      <c r="D5247" t="inlineStr">
        <is>
          <t>VÄSTRA GÖTALANDS LÄN</t>
        </is>
      </c>
      <c r="E5247" t="inlineStr">
        <is>
          <t>MUNKEDAL</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28933-2025</t>
        </is>
      </c>
      <c r="B5248" s="1" t="n">
        <v>45820.68407407407</v>
      </c>
      <c r="C5248" s="1" t="n">
        <v>46011</v>
      </c>
      <c r="D5248" t="inlineStr">
        <is>
          <t>VÄSTRA GÖTALANDS LÄN</t>
        </is>
      </c>
      <c r="E5248" t="inlineStr">
        <is>
          <t>GULLSPÅNG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28934-2025</t>
        </is>
      </c>
      <c r="B5249" s="1" t="n">
        <v>45820.68806712963</v>
      </c>
      <c r="C5249" s="1" t="n">
        <v>46011</v>
      </c>
      <c r="D5249" t="inlineStr">
        <is>
          <t>VÄSTRA GÖTALANDS LÄN</t>
        </is>
      </c>
      <c r="E5249" t="inlineStr">
        <is>
          <t>GULLSPÅNG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28640-2025</t>
        </is>
      </c>
      <c r="B5250" s="1" t="n">
        <v>45819.63666666667</v>
      </c>
      <c r="C5250" s="1" t="n">
        <v>46011</v>
      </c>
      <c r="D5250" t="inlineStr">
        <is>
          <t>VÄSTRA GÖTALANDS LÄN</t>
        </is>
      </c>
      <c r="E5250" t="inlineStr">
        <is>
          <t>MARK</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39113-2024</t>
        </is>
      </c>
      <c r="B5251" s="1" t="n">
        <v>45548.58054398148</v>
      </c>
      <c r="C5251" s="1" t="n">
        <v>46011</v>
      </c>
      <c r="D5251" t="inlineStr">
        <is>
          <t>VÄSTRA GÖTALANDS LÄN</t>
        </is>
      </c>
      <c r="E5251" t="inlineStr">
        <is>
          <t>LERUM</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39121-2024</t>
        </is>
      </c>
      <c r="B5252" s="1" t="n">
        <v>45548.5928587963</v>
      </c>
      <c r="C5252" s="1" t="n">
        <v>46011</v>
      </c>
      <c r="D5252" t="inlineStr">
        <is>
          <t>VÄSTRA GÖTALANDS LÄN</t>
        </is>
      </c>
      <c r="E5252" t="inlineStr">
        <is>
          <t>UDDEVALLA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41579-2025</t>
        </is>
      </c>
      <c r="B5253" s="1" t="n">
        <v>45901.62109953703</v>
      </c>
      <c r="C5253" s="1" t="n">
        <v>46011</v>
      </c>
      <c r="D5253" t="inlineStr">
        <is>
          <t>VÄSTRA GÖTALANDS LÄN</t>
        </is>
      </c>
      <c r="E5253" t="inlineStr">
        <is>
          <t>UDDEVALLA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41570-2025</t>
        </is>
      </c>
      <c r="B5254" s="1" t="n">
        <v>45901.60825231481</v>
      </c>
      <c r="C5254" s="1" t="n">
        <v>46011</v>
      </c>
      <c r="D5254" t="inlineStr">
        <is>
          <t>VÄSTRA GÖTALANDS LÄN</t>
        </is>
      </c>
      <c r="E5254" t="inlineStr">
        <is>
          <t>GRÄSTORP</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33925-2024</t>
        </is>
      </c>
      <c r="B5255" s="1" t="n">
        <v>45522</v>
      </c>
      <c r="C5255" s="1" t="n">
        <v>46011</v>
      </c>
      <c r="D5255" t="inlineStr">
        <is>
          <t>VÄSTRA GÖTALANDS LÄN</t>
        </is>
      </c>
      <c r="E5255" t="inlineStr">
        <is>
          <t>MUNKEDAL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13819-2023</t>
        </is>
      </c>
      <c r="B5256" s="1" t="n">
        <v>45007.57650462963</v>
      </c>
      <c r="C5256" s="1" t="n">
        <v>46011</v>
      </c>
      <c r="D5256" t="inlineStr">
        <is>
          <t>VÄSTRA GÖTALANDS LÄN</t>
        </is>
      </c>
      <c r="E5256" t="inlineStr">
        <is>
          <t>ULRICEHAMN</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6118-2023</t>
        </is>
      </c>
      <c r="B5257" s="1" t="n">
        <v>44964.60105324074</v>
      </c>
      <c r="C5257" s="1" t="n">
        <v>46011</v>
      </c>
      <c r="D5257" t="inlineStr">
        <is>
          <t>VÄSTRA GÖTALANDS LÄN</t>
        </is>
      </c>
      <c r="E5257" t="inlineStr">
        <is>
          <t>BORÅS</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7346-2023</t>
        </is>
      </c>
      <c r="B5258" s="1" t="n">
        <v>44971</v>
      </c>
      <c r="C5258" s="1" t="n">
        <v>46011</v>
      </c>
      <c r="D5258" t="inlineStr">
        <is>
          <t>VÄSTRA GÖTALANDS LÄN</t>
        </is>
      </c>
      <c r="E5258" t="inlineStr">
        <is>
          <t>ULRICEHAMN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41079-2024</t>
        </is>
      </c>
      <c r="B5259" s="1" t="n">
        <v>45559</v>
      </c>
      <c r="C5259" s="1" t="n">
        <v>46011</v>
      </c>
      <c r="D5259" t="inlineStr">
        <is>
          <t>VÄSTRA GÖTALANDS LÄN</t>
        </is>
      </c>
      <c r="E5259" t="inlineStr">
        <is>
          <t>FALKÖPING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1784-2023</t>
        </is>
      </c>
      <c r="B5260" s="1" t="n">
        <v>44938.60303240741</v>
      </c>
      <c r="C5260" s="1" t="n">
        <v>46011</v>
      </c>
      <c r="D5260" t="inlineStr">
        <is>
          <t>VÄSTRA GÖTALANDS LÄN</t>
        </is>
      </c>
      <c r="E5260" t="inlineStr">
        <is>
          <t>SKÖVDE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28869-2025</t>
        </is>
      </c>
      <c r="B5261" s="1" t="n">
        <v>45820.60309027778</v>
      </c>
      <c r="C5261" s="1" t="n">
        <v>46011</v>
      </c>
      <c r="D5261" t="inlineStr">
        <is>
          <t>VÄSTRA GÖTALANDS LÄN</t>
        </is>
      </c>
      <c r="E5261" t="inlineStr">
        <is>
          <t>TÖREBODA</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989-2022</t>
        </is>
      </c>
      <c r="B5262" s="1" t="n">
        <v>44571</v>
      </c>
      <c r="C5262" s="1" t="n">
        <v>46011</v>
      </c>
      <c r="D5262" t="inlineStr">
        <is>
          <t>VÄSTRA GÖTALANDS LÄN</t>
        </is>
      </c>
      <c r="E5262" t="inlineStr">
        <is>
          <t>TÖREBODA</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15388-2024</t>
        </is>
      </c>
      <c r="B5263" s="1" t="n">
        <v>45401.23033564815</v>
      </c>
      <c r="C5263" s="1" t="n">
        <v>46011</v>
      </c>
      <c r="D5263" t="inlineStr">
        <is>
          <t>VÄSTRA GÖTALANDS LÄN</t>
        </is>
      </c>
      <c r="E5263" t="inlineStr">
        <is>
          <t>SKÖVDE</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41593-2025</t>
        </is>
      </c>
      <c r="B5264" s="1" t="n">
        <v>45901.63788194444</v>
      </c>
      <c r="C5264" s="1" t="n">
        <v>46011</v>
      </c>
      <c r="D5264" t="inlineStr">
        <is>
          <t>VÄSTRA GÖTALANDS LÄN</t>
        </is>
      </c>
      <c r="E5264" t="inlineStr">
        <is>
          <t>VÅRGÅRDA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28440-2025</t>
        </is>
      </c>
      <c r="B5265" s="1" t="n">
        <v>45819.39317129629</v>
      </c>
      <c r="C5265" s="1" t="n">
        <v>46011</v>
      </c>
      <c r="D5265" t="inlineStr">
        <is>
          <t>VÄSTRA GÖTALANDS LÄN</t>
        </is>
      </c>
      <c r="E5265" t="inlineStr">
        <is>
          <t>MARIESTAD</t>
        </is>
      </c>
      <c r="G5265" t="n">
        <v>9.300000000000001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15421-2024</t>
        </is>
      </c>
      <c r="B5266" s="1" t="n">
        <v>45401.36530092593</v>
      </c>
      <c r="C5266" s="1" t="n">
        <v>46011</v>
      </c>
      <c r="D5266" t="inlineStr">
        <is>
          <t>VÄSTRA GÖTALANDS LÄN</t>
        </is>
      </c>
      <c r="E5266" t="inlineStr">
        <is>
          <t>VÅRGÅRDA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41613-2025</t>
        </is>
      </c>
      <c r="B5267" s="1" t="n">
        <v>45901.67724537037</v>
      </c>
      <c r="C5267" s="1" t="n">
        <v>46011</v>
      </c>
      <c r="D5267" t="inlineStr">
        <is>
          <t>VÄSTRA GÖTALANDS LÄN</t>
        </is>
      </c>
      <c r="E5267" t="inlineStr">
        <is>
          <t>MARK</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59067-2024</t>
        </is>
      </c>
      <c r="B5268" s="1" t="n">
        <v>45636.94935185185</v>
      </c>
      <c r="C5268" s="1" t="n">
        <v>46011</v>
      </c>
      <c r="D5268" t="inlineStr">
        <is>
          <t>VÄSTRA GÖTALANDS LÄN</t>
        </is>
      </c>
      <c r="E5268" t="inlineStr">
        <is>
          <t>ULRICEHAMN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28621-2025</t>
        </is>
      </c>
      <c r="B5269" s="1" t="n">
        <v>45819.61297453703</v>
      </c>
      <c r="C5269" s="1" t="n">
        <v>46011</v>
      </c>
      <c r="D5269" t="inlineStr">
        <is>
          <t>VÄSTRA GÖTALANDS LÄN</t>
        </is>
      </c>
      <c r="E5269" t="inlineStr">
        <is>
          <t>HERRLJUNGA</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61908-2021</t>
        </is>
      </c>
      <c r="B5270" s="1" t="n">
        <v>44501</v>
      </c>
      <c r="C5270" s="1" t="n">
        <v>46011</v>
      </c>
      <c r="D5270" t="inlineStr">
        <is>
          <t>VÄSTRA GÖTALANDS LÄN</t>
        </is>
      </c>
      <c r="E5270" t="inlineStr">
        <is>
          <t>ULRICEHAMN</t>
        </is>
      </c>
      <c r="G5270" t="n">
        <v>10.1</v>
      </c>
      <c r="H5270" t="n">
        <v>0</v>
      </c>
      <c r="I5270" t="n">
        <v>0</v>
      </c>
      <c r="J5270" t="n">
        <v>0</v>
      </c>
      <c r="K5270" t="n">
        <v>0</v>
      </c>
      <c r="L5270" t="n">
        <v>0</v>
      </c>
      <c r="M5270" t="n">
        <v>0</v>
      </c>
      <c r="N5270" t="n">
        <v>0</v>
      </c>
      <c r="O5270" t="n">
        <v>0</v>
      </c>
      <c r="P5270" t="n">
        <v>0</v>
      </c>
      <c r="Q5270" t="n">
        <v>0</v>
      </c>
      <c r="R5270" s="2" t="inlineStr"/>
    </row>
    <row r="5271" ht="15" customHeight="1">
      <c r="A5271" t="inlineStr">
        <is>
          <t>A 28515-2025</t>
        </is>
      </c>
      <c r="B5271" s="1" t="n">
        <v>45819.48321759259</v>
      </c>
      <c r="C5271" s="1" t="n">
        <v>46011</v>
      </c>
      <c r="D5271" t="inlineStr">
        <is>
          <t>VÄSTRA GÖTALANDS LÄN</t>
        </is>
      </c>
      <c r="E5271" t="inlineStr">
        <is>
          <t>LILLA EDET</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35055-2025</t>
        </is>
      </c>
      <c r="B5272" s="1" t="n">
        <v>45852</v>
      </c>
      <c r="C5272" s="1" t="n">
        <v>46011</v>
      </c>
      <c r="D5272" t="inlineStr">
        <is>
          <t>VÄSTRA GÖTALANDS LÄN</t>
        </is>
      </c>
      <c r="E5272" t="inlineStr">
        <is>
          <t>VÅRGÅRDA</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16577-2022</t>
        </is>
      </c>
      <c r="B5273" s="1" t="n">
        <v>44672.46112268518</v>
      </c>
      <c r="C5273" s="1" t="n">
        <v>46011</v>
      </c>
      <c r="D5273" t="inlineStr">
        <is>
          <t>VÄSTRA GÖTALANDS LÄN</t>
        </is>
      </c>
      <c r="E5273" t="inlineStr">
        <is>
          <t>ULRICEHAMN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41830-2025</t>
        </is>
      </c>
      <c r="B5274" s="1" t="n">
        <v>45902.67804398148</v>
      </c>
      <c r="C5274" s="1" t="n">
        <v>46011</v>
      </c>
      <c r="D5274" t="inlineStr">
        <is>
          <t>VÄSTRA GÖTALANDS LÄN</t>
        </is>
      </c>
      <c r="E5274" t="inlineStr">
        <is>
          <t>ALINGSÅS</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32386-2023</t>
        </is>
      </c>
      <c r="B5275" s="1" t="n">
        <v>45120</v>
      </c>
      <c r="C5275" s="1" t="n">
        <v>46011</v>
      </c>
      <c r="D5275" t="inlineStr">
        <is>
          <t>VÄSTRA GÖTALANDS LÄN</t>
        </is>
      </c>
      <c r="E5275" t="inlineStr">
        <is>
          <t>SVENLJUNGA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32395-2023</t>
        </is>
      </c>
      <c r="B5276" s="1" t="n">
        <v>45120</v>
      </c>
      <c r="C5276" s="1" t="n">
        <v>46011</v>
      </c>
      <c r="D5276" t="inlineStr">
        <is>
          <t>VÄSTRA GÖTALANDS LÄN</t>
        </is>
      </c>
      <c r="E5276" t="inlineStr">
        <is>
          <t>LIDKÖPING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17113-2025</t>
        </is>
      </c>
      <c r="B5277" s="1" t="n">
        <v>45755.67962962963</v>
      </c>
      <c r="C5277" s="1" t="n">
        <v>46011</v>
      </c>
      <c r="D5277" t="inlineStr">
        <is>
          <t>VÄSTRA GÖTALANDS LÄN</t>
        </is>
      </c>
      <c r="E5277" t="inlineStr">
        <is>
          <t>TRANEMO</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28786-2025</t>
        </is>
      </c>
      <c r="B5278" s="1" t="n">
        <v>45820.46232638889</v>
      </c>
      <c r="C5278" s="1" t="n">
        <v>46011</v>
      </c>
      <c r="D5278" t="inlineStr">
        <is>
          <t>VÄSTRA GÖTALANDS LÄN</t>
        </is>
      </c>
      <c r="E5278" t="inlineStr">
        <is>
          <t>ÅMÅL</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28803-2025</t>
        </is>
      </c>
      <c r="B5279" s="1" t="n">
        <v>45820</v>
      </c>
      <c r="C5279" s="1" t="n">
        <v>46011</v>
      </c>
      <c r="D5279" t="inlineStr">
        <is>
          <t>VÄSTRA GÖTALANDS LÄN</t>
        </is>
      </c>
      <c r="E5279" t="inlineStr">
        <is>
          <t>UDDEVALLA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28781-2025</t>
        </is>
      </c>
      <c r="B5280" s="1" t="n">
        <v>45820.45300925926</v>
      </c>
      <c r="C5280" s="1" t="n">
        <v>46011</v>
      </c>
      <c r="D5280" t="inlineStr">
        <is>
          <t>VÄSTRA GÖTALANDS LÄN</t>
        </is>
      </c>
      <c r="E5280" t="inlineStr">
        <is>
          <t>VARA</t>
        </is>
      </c>
      <c r="F5280" t="inlineStr">
        <is>
          <t>Sveaskog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17014-2025</t>
        </is>
      </c>
      <c r="B5281" s="1" t="n">
        <v>45755.55113425926</v>
      </c>
      <c r="C5281" s="1" t="n">
        <v>46011</v>
      </c>
      <c r="D5281" t="inlineStr">
        <is>
          <t>VÄSTRA GÖTALANDS LÄN</t>
        </is>
      </c>
      <c r="E5281" t="inlineStr">
        <is>
          <t>MARK</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16147-2025</t>
        </is>
      </c>
      <c r="B5282" s="1" t="n">
        <v>45750.46237268519</v>
      </c>
      <c r="C5282" s="1" t="n">
        <v>46011</v>
      </c>
      <c r="D5282" t="inlineStr">
        <is>
          <t>VÄSTRA GÖTALANDS LÄN</t>
        </is>
      </c>
      <c r="E5282" t="inlineStr">
        <is>
          <t>MARK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28691-2025</t>
        </is>
      </c>
      <c r="B5283" s="1" t="n">
        <v>45819.76692129629</v>
      </c>
      <c r="C5283" s="1" t="n">
        <v>46011</v>
      </c>
      <c r="D5283" t="inlineStr">
        <is>
          <t>VÄSTRA GÖTALANDS LÄN</t>
        </is>
      </c>
      <c r="E5283" t="inlineStr">
        <is>
          <t>TRANEMO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28733-2025</t>
        </is>
      </c>
      <c r="B5284" s="1" t="n">
        <v>45820.36895833333</v>
      </c>
      <c r="C5284" s="1" t="n">
        <v>46011</v>
      </c>
      <c r="D5284" t="inlineStr">
        <is>
          <t>VÄSTRA GÖTALANDS LÄN</t>
        </is>
      </c>
      <c r="E5284" t="inlineStr">
        <is>
          <t>MUNKEDAL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28738-2025</t>
        </is>
      </c>
      <c r="B5285" s="1" t="n">
        <v>45820.38222222222</v>
      </c>
      <c r="C5285" s="1" t="n">
        <v>46011</v>
      </c>
      <c r="D5285" t="inlineStr">
        <is>
          <t>VÄSTRA GÖTALANDS LÄN</t>
        </is>
      </c>
      <c r="E5285" t="inlineStr">
        <is>
          <t>SKARA</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28805-2025</t>
        </is>
      </c>
      <c r="B5286" s="1" t="n">
        <v>45820.50503472222</v>
      </c>
      <c r="C5286" s="1" t="n">
        <v>46011</v>
      </c>
      <c r="D5286" t="inlineStr">
        <is>
          <t>VÄSTRA GÖTALANDS LÄN</t>
        </is>
      </c>
      <c r="E5286" t="inlineStr">
        <is>
          <t>SVENLJUNGA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28899-2025</t>
        </is>
      </c>
      <c r="B5287" s="1" t="n">
        <v>45820.63811342593</v>
      </c>
      <c r="C5287" s="1" t="n">
        <v>46011</v>
      </c>
      <c r="D5287" t="inlineStr">
        <is>
          <t>VÄSTRA GÖTALANDS LÄN</t>
        </is>
      </c>
      <c r="E5287" t="inlineStr">
        <is>
          <t>MARIESTAD</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43364-2024</t>
        </is>
      </c>
      <c r="B5288" s="1" t="n">
        <v>45568.58287037037</v>
      </c>
      <c r="C5288" s="1" t="n">
        <v>46011</v>
      </c>
      <c r="D5288" t="inlineStr">
        <is>
          <t>VÄSTRA GÖTALANDS LÄN</t>
        </is>
      </c>
      <c r="E5288" t="inlineStr">
        <is>
          <t>TANUM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33276-2023</t>
        </is>
      </c>
      <c r="B5289" s="1" t="n">
        <v>45127.60350694445</v>
      </c>
      <c r="C5289" s="1" t="n">
        <v>46011</v>
      </c>
      <c r="D5289" t="inlineStr">
        <is>
          <t>VÄSTRA GÖTALANDS LÄN</t>
        </is>
      </c>
      <c r="E5289" t="inlineStr">
        <is>
          <t>TÖREBODA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28536-2025</t>
        </is>
      </c>
      <c r="B5290" s="1" t="n">
        <v>45819.51068287037</v>
      </c>
      <c r="C5290" s="1" t="n">
        <v>46011</v>
      </c>
      <c r="D5290" t="inlineStr">
        <is>
          <t>VÄSTRA GÖTALANDS LÄN</t>
        </is>
      </c>
      <c r="E5290" t="inlineStr">
        <is>
          <t>BORÅS</t>
        </is>
      </c>
      <c r="G5290" t="n">
        <v>0.1</v>
      </c>
      <c r="H5290" t="n">
        <v>0</v>
      </c>
      <c r="I5290" t="n">
        <v>0</v>
      </c>
      <c r="J5290" t="n">
        <v>0</v>
      </c>
      <c r="K5290" t="n">
        <v>0</v>
      </c>
      <c r="L5290" t="n">
        <v>0</v>
      </c>
      <c r="M5290" t="n">
        <v>0</v>
      </c>
      <c r="N5290" t="n">
        <v>0</v>
      </c>
      <c r="O5290" t="n">
        <v>0</v>
      </c>
      <c r="P5290" t="n">
        <v>0</v>
      </c>
      <c r="Q5290" t="n">
        <v>0</v>
      </c>
      <c r="R5290" s="2" t="inlineStr"/>
    </row>
    <row r="5291" ht="15" customHeight="1">
      <c r="A5291" t="inlineStr">
        <is>
          <t>A 28647-2025</t>
        </is>
      </c>
      <c r="B5291" s="1" t="n">
        <v>45819</v>
      </c>
      <c r="C5291" s="1" t="n">
        <v>46011</v>
      </c>
      <c r="D5291" t="inlineStr">
        <is>
          <t>VÄSTRA GÖTALANDS LÄN</t>
        </is>
      </c>
      <c r="E5291" t="inlineStr">
        <is>
          <t>ÅMÅL</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28722-2025</t>
        </is>
      </c>
      <c r="B5292" s="1" t="n">
        <v>45820.35901620371</v>
      </c>
      <c r="C5292" s="1" t="n">
        <v>46011</v>
      </c>
      <c r="D5292" t="inlineStr">
        <is>
          <t>VÄSTRA GÖTALANDS LÄN</t>
        </is>
      </c>
      <c r="E5292" t="inlineStr">
        <is>
          <t>MUNKEDAL</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28773-2025</t>
        </is>
      </c>
      <c r="B5293" s="1" t="n">
        <v>45820.439375</v>
      </c>
      <c r="C5293" s="1" t="n">
        <v>46011</v>
      </c>
      <c r="D5293" t="inlineStr">
        <is>
          <t>VÄSTRA GÖTALANDS LÄN</t>
        </is>
      </c>
      <c r="E5293" t="inlineStr">
        <is>
          <t>SKARA</t>
        </is>
      </c>
      <c r="F5293" t="inlineStr">
        <is>
          <t>Sveaskog</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41811-2025</t>
        </is>
      </c>
      <c r="B5294" s="1" t="n">
        <v>45902.64659722222</v>
      </c>
      <c r="C5294" s="1" t="n">
        <v>46011</v>
      </c>
      <c r="D5294" t="inlineStr">
        <is>
          <t>VÄSTRA GÖTALANDS LÄN</t>
        </is>
      </c>
      <c r="E5294" t="inlineStr">
        <is>
          <t>MUNKEDAL</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16266-2025</t>
        </is>
      </c>
      <c r="B5295" s="1" t="n">
        <v>45750</v>
      </c>
      <c r="C5295" s="1" t="n">
        <v>46011</v>
      </c>
      <c r="D5295" t="inlineStr">
        <is>
          <t>VÄSTRA GÖTALANDS LÄN</t>
        </is>
      </c>
      <c r="E5295" t="inlineStr">
        <is>
          <t>TÖREBODA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16281-2025</t>
        </is>
      </c>
      <c r="B5296" s="1" t="n">
        <v>45751.29027777778</v>
      </c>
      <c r="C5296" s="1" t="n">
        <v>46011</v>
      </c>
      <c r="D5296" t="inlineStr">
        <is>
          <t>VÄSTRA GÖTALANDS LÄN</t>
        </is>
      </c>
      <c r="E5296" t="inlineStr">
        <is>
          <t>VÅRGÅRDA</t>
        </is>
      </c>
      <c r="F5296" t="inlineStr">
        <is>
          <t>Sveaskog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16283-2025</t>
        </is>
      </c>
      <c r="B5297" s="1" t="n">
        <v>45751.29266203703</v>
      </c>
      <c r="C5297" s="1" t="n">
        <v>46011</v>
      </c>
      <c r="D5297" t="inlineStr">
        <is>
          <t>VÄSTRA GÖTALANDS LÄN</t>
        </is>
      </c>
      <c r="E5297" t="inlineStr">
        <is>
          <t>VÅRGÅRDA</t>
        </is>
      </c>
      <c r="F5297" t="inlineStr">
        <is>
          <t>Sveaskog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14807-2025</t>
        </is>
      </c>
      <c r="B5298" s="1" t="n">
        <v>45743.32101851852</v>
      </c>
      <c r="C5298" s="1" t="n">
        <v>46011</v>
      </c>
      <c r="D5298" t="inlineStr">
        <is>
          <t>VÄSTRA GÖTALANDS LÄN</t>
        </is>
      </c>
      <c r="E5298" t="inlineStr">
        <is>
          <t>TRANEMO</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2815-2022</t>
        </is>
      </c>
      <c r="B5299" s="1" t="n">
        <v>44581.41039351852</v>
      </c>
      <c r="C5299" s="1" t="n">
        <v>46011</v>
      </c>
      <c r="D5299" t="inlineStr">
        <is>
          <t>VÄSTRA GÖTALANDS LÄN</t>
        </is>
      </c>
      <c r="E5299" t="inlineStr">
        <is>
          <t>BORÅS</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28586-2025</t>
        </is>
      </c>
      <c r="B5300" s="1" t="n">
        <v>45819.5812037037</v>
      </c>
      <c r="C5300" s="1" t="n">
        <v>46011</v>
      </c>
      <c r="D5300" t="inlineStr">
        <is>
          <t>VÄSTRA GÖTALANDS LÄN</t>
        </is>
      </c>
      <c r="E5300" t="inlineStr">
        <is>
          <t>STRÖMSTAD</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23268-2022</t>
        </is>
      </c>
      <c r="B5301" s="1" t="n">
        <v>44720.40994212963</v>
      </c>
      <c r="C5301" s="1" t="n">
        <v>46011</v>
      </c>
      <c r="D5301" t="inlineStr">
        <is>
          <t>VÄSTRA GÖTALANDS LÄN</t>
        </is>
      </c>
      <c r="E5301" t="inlineStr">
        <is>
          <t>KARLSBORG</t>
        </is>
      </c>
      <c r="F5301" t="inlineStr">
        <is>
          <t>Sveaskog</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28616-2025</t>
        </is>
      </c>
      <c r="B5302" s="1" t="n">
        <v>45819</v>
      </c>
      <c r="C5302" s="1" t="n">
        <v>46011</v>
      </c>
      <c r="D5302" t="inlineStr">
        <is>
          <t>VÄSTRA GÖTALANDS LÄN</t>
        </is>
      </c>
      <c r="E5302" t="inlineStr">
        <is>
          <t>HERRLJUNGA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46520-2023</t>
        </is>
      </c>
      <c r="B5303" s="1" t="n">
        <v>45197</v>
      </c>
      <c r="C5303" s="1" t="n">
        <v>46011</v>
      </c>
      <c r="D5303" t="inlineStr">
        <is>
          <t>VÄSTRA GÖTALANDS LÄN</t>
        </is>
      </c>
      <c r="E5303" t="inlineStr">
        <is>
          <t>HJO</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19833-2025</t>
        </is>
      </c>
      <c r="B5304" s="1" t="n">
        <v>45771.4696875</v>
      </c>
      <c r="C5304" s="1" t="n">
        <v>46011</v>
      </c>
      <c r="D5304" t="inlineStr">
        <is>
          <t>VÄSTRA GÖTALANDS LÄN</t>
        </is>
      </c>
      <c r="E5304" t="inlineStr">
        <is>
          <t>ULRICEHAMN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28432-2025</t>
        </is>
      </c>
      <c r="B5305" s="1" t="n">
        <v>45819.38085648148</v>
      </c>
      <c r="C5305" s="1" t="n">
        <v>46011</v>
      </c>
      <c r="D5305" t="inlineStr">
        <is>
          <t>VÄSTRA GÖTALANDS LÄN</t>
        </is>
      </c>
      <c r="E5305" t="inlineStr">
        <is>
          <t>MARK</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41572-2025</t>
        </is>
      </c>
      <c r="B5306" s="1" t="n">
        <v>45901.61446759259</v>
      </c>
      <c r="C5306" s="1" t="n">
        <v>46011</v>
      </c>
      <c r="D5306" t="inlineStr">
        <is>
          <t>VÄSTRA GÖTALANDS LÄN</t>
        </is>
      </c>
      <c r="E5306" t="inlineStr">
        <is>
          <t>UDDEVALLA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41576-2025</t>
        </is>
      </c>
      <c r="B5307" s="1" t="n">
        <v>45901.6183912037</v>
      </c>
      <c r="C5307" s="1" t="n">
        <v>46011</v>
      </c>
      <c r="D5307" t="inlineStr">
        <is>
          <t>VÄSTRA GÖTALANDS LÄN</t>
        </is>
      </c>
      <c r="E5307" t="inlineStr">
        <is>
          <t>UDDEVALLA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41347-2025</t>
        </is>
      </c>
      <c r="B5308" s="1" t="n">
        <v>45899.49072916667</v>
      </c>
      <c r="C5308" s="1" t="n">
        <v>46011</v>
      </c>
      <c r="D5308" t="inlineStr">
        <is>
          <t>VÄSTRA GÖTALANDS LÄN</t>
        </is>
      </c>
      <c r="E5308" t="inlineStr">
        <is>
          <t>TIDAHOLM</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30639-2024</t>
        </is>
      </c>
      <c r="B5309" s="1" t="n">
        <v>45495.56979166667</v>
      </c>
      <c r="C5309" s="1" t="n">
        <v>46011</v>
      </c>
      <c r="D5309" t="inlineStr">
        <is>
          <t>VÄSTRA GÖTALANDS LÄN</t>
        </is>
      </c>
      <c r="E5309" t="inlineStr">
        <is>
          <t>UDDEVALLA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9177-2022</t>
        </is>
      </c>
      <c r="B5310" s="1" t="n">
        <v>44615</v>
      </c>
      <c r="C5310" s="1" t="n">
        <v>46011</v>
      </c>
      <c r="D5310" t="inlineStr">
        <is>
          <t>VÄSTRA GÖTALANDS LÄN</t>
        </is>
      </c>
      <c r="E5310" t="inlineStr">
        <is>
          <t>HJO</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9181-2022</t>
        </is>
      </c>
      <c r="B5311" s="1" t="n">
        <v>44615.82409722222</v>
      </c>
      <c r="C5311" s="1" t="n">
        <v>46011</v>
      </c>
      <c r="D5311" t="inlineStr">
        <is>
          <t>VÄSTRA GÖTALANDS LÄN</t>
        </is>
      </c>
      <c r="E5311" t="inlineStr">
        <is>
          <t>ALINGSÅS</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28885-2025</t>
        </is>
      </c>
      <c r="B5312" s="1" t="n">
        <v>45820.62862268519</v>
      </c>
      <c r="C5312" s="1" t="n">
        <v>46011</v>
      </c>
      <c r="D5312" t="inlineStr">
        <is>
          <t>VÄSTRA GÖTALANDS LÄN</t>
        </is>
      </c>
      <c r="E5312" t="inlineStr">
        <is>
          <t>TRANEMO</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28887-2025</t>
        </is>
      </c>
      <c r="B5313" s="1" t="n">
        <v>45820.62993055556</v>
      </c>
      <c r="C5313" s="1" t="n">
        <v>46011</v>
      </c>
      <c r="D5313" t="inlineStr">
        <is>
          <t>VÄSTRA GÖTALANDS LÄN</t>
        </is>
      </c>
      <c r="E5313" t="inlineStr">
        <is>
          <t>TRANEMO</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5470-2025</t>
        </is>
      </c>
      <c r="B5314" s="1" t="n">
        <v>45693.3281712963</v>
      </c>
      <c r="C5314" s="1" t="n">
        <v>46011</v>
      </c>
      <c r="D5314" t="inlineStr">
        <is>
          <t>VÄSTRA GÖTALANDS LÄN</t>
        </is>
      </c>
      <c r="E5314" t="inlineStr">
        <is>
          <t>SKÖVDE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33666-2023</t>
        </is>
      </c>
      <c r="B5315" s="1" t="n">
        <v>45132</v>
      </c>
      <c r="C5315" s="1" t="n">
        <v>46011</v>
      </c>
      <c r="D5315" t="inlineStr">
        <is>
          <t>VÄSTRA GÖTALANDS LÄN</t>
        </is>
      </c>
      <c r="E5315" t="inlineStr">
        <is>
          <t>MELLERUD</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28910-2025</t>
        </is>
      </c>
      <c r="B5316" s="1" t="n">
        <v>45820.65557870371</v>
      </c>
      <c r="C5316" s="1" t="n">
        <v>46011</v>
      </c>
      <c r="D5316" t="inlineStr">
        <is>
          <t>VÄSTRA GÖTALANDS LÄN</t>
        </is>
      </c>
      <c r="E5316" t="inlineStr">
        <is>
          <t>TANUM</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41623-2025</t>
        </is>
      </c>
      <c r="B5317" s="1" t="n">
        <v>45901.70811342593</v>
      </c>
      <c r="C5317" s="1" t="n">
        <v>46011</v>
      </c>
      <c r="D5317" t="inlineStr">
        <is>
          <t>VÄSTRA GÖTALANDS LÄN</t>
        </is>
      </c>
      <c r="E5317" t="inlineStr">
        <is>
          <t>BENGTSFORS</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6368-2022</t>
        </is>
      </c>
      <c r="B5318" s="1" t="n">
        <v>44600</v>
      </c>
      <c r="C5318" s="1" t="n">
        <v>46011</v>
      </c>
      <c r="D5318" t="inlineStr">
        <is>
          <t>VÄSTRA GÖTALANDS LÄN</t>
        </is>
      </c>
      <c r="E5318" t="inlineStr">
        <is>
          <t>DALS-ED</t>
        </is>
      </c>
      <c r="F5318" t="inlineStr">
        <is>
          <t>Kyrkan</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42098-2025</t>
        </is>
      </c>
      <c r="B5319" s="1" t="n">
        <v>45903.75858796296</v>
      </c>
      <c r="C5319" s="1" t="n">
        <v>46011</v>
      </c>
      <c r="D5319" t="inlineStr">
        <is>
          <t>VÄSTRA GÖTALANDS LÄN</t>
        </is>
      </c>
      <c r="E5319" t="inlineStr">
        <is>
          <t>ÅMÅL</t>
        </is>
      </c>
      <c r="F5319" t="inlineStr">
        <is>
          <t>Kommuner</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42109-2025</t>
        </is>
      </c>
      <c r="B5320" s="1" t="n">
        <v>45904.30618055556</v>
      </c>
      <c r="C5320" s="1" t="n">
        <v>46011</v>
      </c>
      <c r="D5320" t="inlineStr">
        <is>
          <t>VÄSTRA GÖTALANDS LÄN</t>
        </is>
      </c>
      <c r="E5320" t="inlineStr">
        <is>
          <t>SVENLJUNGA</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42061-2025</t>
        </is>
      </c>
      <c r="B5321" s="1" t="n">
        <v>45903.65025462963</v>
      </c>
      <c r="C5321" s="1" t="n">
        <v>46011</v>
      </c>
      <c r="D5321" t="inlineStr">
        <is>
          <t>VÄSTRA GÖTALANDS LÄN</t>
        </is>
      </c>
      <c r="E5321" t="inlineStr">
        <is>
          <t>MARK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9249-2022</t>
        </is>
      </c>
      <c r="B5322" s="1" t="n">
        <v>44616</v>
      </c>
      <c r="C5322" s="1" t="n">
        <v>46011</v>
      </c>
      <c r="D5322" t="inlineStr">
        <is>
          <t>VÄSTRA GÖTALANDS LÄN</t>
        </is>
      </c>
      <c r="E5322" t="inlineStr">
        <is>
          <t>FALKÖPING</t>
        </is>
      </c>
      <c r="G5322" t="n">
        <v>13.4</v>
      </c>
      <c r="H5322" t="n">
        <v>0</v>
      </c>
      <c r="I5322" t="n">
        <v>0</v>
      </c>
      <c r="J5322" t="n">
        <v>0</v>
      </c>
      <c r="K5322" t="n">
        <v>0</v>
      </c>
      <c r="L5322" t="n">
        <v>0</v>
      </c>
      <c r="M5322" t="n">
        <v>0</v>
      </c>
      <c r="N5322" t="n">
        <v>0</v>
      </c>
      <c r="O5322" t="n">
        <v>0</v>
      </c>
      <c r="P5322" t="n">
        <v>0</v>
      </c>
      <c r="Q5322" t="n">
        <v>0</v>
      </c>
      <c r="R5322" s="2" t="inlineStr"/>
    </row>
    <row r="5323" ht="15" customHeight="1">
      <c r="A5323" t="inlineStr">
        <is>
          <t>A 28886-2025</t>
        </is>
      </c>
      <c r="B5323" s="1" t="n">
        <v>45820.62944444444</v>
      </c>
      <c r="C5323" s="1" t="n">
        <v>46011</v>
      </c>
      <c r="D5323" t="inlineStr">
        <is>
          <t>VÄSTRA GÖTALANDS LÄN</t>
        </is>
      </c>
      <c r="E5323" t="inlineStr">
        <is>
          <t>GULLSPÅNG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41881-2025</t>
        </is>
      </c>
      <c r="B5324" s="1" t="n">
        <v>45903.36444444444</v>
      </c>
      <c r="C5324" s="1" t="n">
        <v>46011</v>
      </c>
      <c r="D5324" t="inlineStr">
        <is>
          <t>VÄSTRA GÖTALANDS LÄN</t>
        </is>
      </c>
      <c r="E5324" t="inlineStr">
        <is>
          <t>ORUST</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28390-2025</t>
        </is>
      </c>
      <c r="B5325" s="1" t="n">
        <v>45819.32724537037</v>
      </c>
      <c r="C5325" s="1" t="n">
        <v>46011</v>
      </c>
      <c r="D5325" t="inlineStr">
        <is>
          <t>VÄSTRA GÖTALANDS LÄN</t>
        </is>
      </c>
      <c r="E5325" t="inlineStr">
        <is>
          <t>GÖTENE</t>
        </is>
      </c>
      <c r="F5325" t="inlineStr">
        <is>
          <t>Övriga Aktiebolag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28414-2025</t>
        </is>
      </c>
      <c r="B5326" s="1" t="n">
        <v>45819.35086805555</v>
      </c>
      <c r="C5326" s="1" t="n">
        <v>46011</v>
      </c>
      <c r="D5326" t="inlineStr">
        <is>
          <t>VÄSTRA GÖTALANDS LÄN</t>
        </is>
      </c>
      <c r="E5326" t="inlineStr">
        <is>
          <t>DALS-ED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1921-2025</t>
        </is>
      </c>
      <c r="B5327" s="1" t="n">
        <v>45671.67623842593</v>
      </c>
      <c r="C5327" s="1" t="n">
        <v>46011</v>
      </c>
      <c r="D5327" t="inlineStr">
        <is>
          <t>VÄSTRA GÖTALANDS LÄN</t>
        </is>
      </c>
      <c r="E5327" t="inlineStr">
        <is>
          <t>MELLERUD</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28447-2025</t>
        </is>
      </c>
      <c r="B5328" s="1" t="n">
        <v>45819.4</v>
      </c>
      <c r="C5328" s="1" t="n">
        <v>46011</v>
      </c>
      <c r="D5328" t="inlineStr">
        <is>
          <t>VÄSTRA GÖTALANDS LÄN</t>
        </is>
      </c>
      <c r="E5328" t="inlineStr">
        <is>
          <t>MARIESTAD</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28449-2025</t>
        </is>
      </c>
      <c r="B5329" s="1" t="n">
        <v>45819.40282407407</v>
      </c>
      <c r="C5329" s="1" t="n">
        <v>46011</v>
      </c>
      <c r="D5329" t="inlineStr">
        <is>
          <t>VÄSTRA GÖTALANDS LÄN</t>
        </is>
      </c>
      <c r="E5329" t="inlineStr">
        <is>
          <t>MARIESTAD</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42260-2025</t>
        </is>
      </c>
      <c r="B5330" s="1" t="n">
        <v>45904.59520833333</v>
      </c>
      <c r="C5330" s="1" t="n">
        <v>46011</v>
      </c>
      <c r="D5330" t="inlineStr">
        <is>
          <t>VÄSTRA GÖTALANDS LÄN</t>
        </is>
      </c>
      <c r="E5330" t="inlineStr">
        <is>
          <t>DALS-ED</t>
        </is>
      </c>
      <c r="G5330" t="n">
        <v>12.9</v>
      </c>
      <c r="H5330" t="n">
        <v>0</v>
      </c>
      <c r="I5330" t="n">
        <v>0</v>
      </c>
      <c r="J5330" t="n">
        <v>0</v>
      </c>
      <c r="K5330" t="n">
        <v>0</v>
      </c>
      <c r="L5330" t="n">
        <v>0</v>
      </c>
      <c r="M5330" t="n">
        <v>0</v>
      </c>
      <c r="N5330" t="n">
        <v>0</v>
      </c>
      <c r="O5330" t="n">
        <v>0</v>
      </c>
      <c r="P5330" t="n">
        <v>0</v>
      </c>
      <c r="Q5330" t="n">
        <v>0</v>
      </c>
      <c r="R5330" s="2" t="inlineStr"/>
    </row>
    <row r="5331" ht="15" customHeight="1">
      <c r="A5331" t="inlineStr">
        <is>
          <t>A 42230-2025</t>
        </is>
      </c>
      <c r="B5331" s="1" t="n">
        <v>45904.55456018518</v>
      </c>
      <c r="C5331" s="1" t="n">
        <v>46011</v>
      </c>
      <c r="D5331" t="inlineStr">
        <is>
          <t>VÄSTRA GÖTALANDS LÄN</t>
        </is>
      </c>
      <c r="E5331" t="inlineStr">
        <is>
          <t>TÖREBODA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28807-2025</t>
        </is>
      </c>
      <c r="B5332" s="1" t="n">
        <v>45820</v>
      </c>
      <c r="C5332" s="1" t="n">
        <v>46011</v>
      </c>
      <c r="D5332" t="inlineStr">
        <is>
          <t>VÄSTRA GÖTALANDS LÄN</t>
        </is>
      </c>
      <c r="E5332" t="inlineStr">
        <is>
          <t>TANUM</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59171-2022</t>
        </is>
      </c>
      <c r="B5333" s="1" t="n">
        <v>44897</v>
      </c>
      <c r="C5333" s="1" t="n">
        <v>46011</v>
      </c>
      <c r="D5333" t="inlineStr">
        <is>
          <t>VÄSTRA GÖTALANDS LÄN</t>
        </is>
      </c>
      <c r="E5333" t="inlineStr">
        <is>
          <t>MUNKEDAL</t>
        </is>
      </c>
      <c r="F5333" t="inlineStr">
        <is>
          <t>Kyrkan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28865-2025</t>
        </is>
      </c>
      <c r="B5334" s="1" t="n">
        <v>45820</v>
      </c>
      <c r="C5334" s="1" t="n">
        <v>46011</v>
      </c>
      <c r="D5334" t="inlineStr">
        <is>
          <t>VÄSTRA GÖTALANDS LÄN</t>
        </is>
      </c>
      <c r="E5334" t="inlineStr">
        <is>
          <t>MELLERUD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28870-2025</t>
        </is>
      </c>
      <c r="B5335" s="1" t="n">
        <v>45820</v>
      </c>
      <c r="C5335" s="1" t="n">
        <v>46011</v>
      </c>
      <c r="D5335" t="inlineStr">
        <is>
          <t>VÄSTRA GÖTALANDS LÄN</t>
        </is>
      </c>
      <c r="E5335" t="inlineStr">
        <is>
          <t>MELLERUD</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28703-2025</t>
        </is>
      </c>
      <c r="B5336" s="1" t="n">
        <v>45820.23819444444</v>
      </c>
      <c r="C5336" s="1" t="n">
        <v>46011</v>
      </c>
      <c r="D5336" t="inlineStr">
        <is>
          <t>VÄSTRA GÖTALANDS LÄN</t>
        </is>
      </c>
      <c r="E5336" t="inlineStr">
        <is>
          <t>TIBRO</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28932-2025</t>
        </is>
      </c>
      <c r="B5337" s="1" t="n">
        <v>45820.68037037037</v>
      </c>
      <c r="C5337" s="1" t="n">
        <v>46011</v>
      </c>
      <c r="D5337" t="inlineStr">
        <is>
          <t>VÄSTRA GÖTALANDS LÄN</t>
        </is>
      </c>
      <c r="E5337" t="inlineStr">
        <is>
          <t>GULLSPÅNG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41990-2025</t>
        </is>
      </c>
      <c r="B5338" s="1" t="n">
        <v>45903.54530092593</v>
      </c>
      <c r="C5338" s="1" t="n">
        <v>46011</v>
      </c>
      <c r="D5338" t="inlineStr">
        <is>
          <t>VÄSTRA GÖTALANDS LÄN</t>
        </is>
      </c>
      <c r="E5338" t="inlineStr">
        <is>
          <t>BENGTSFORS</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14722-2023</t>
        </is>
      </c>
      <c r="B5339" s="1" t="n">
        <v>45014</v>
      </c>
      <c r="C5339" s="1" t="n">
        <v>46011</v>
      </c>
      <c r="D5339" t="inlineStr">
        <is>
          <t>VÄSTRA GÖTALANDS LÄN</t>
        </is>
      </c>
      <c r="E5339" t="inlineStr">
        <is>
          <t>VÄNERSBORG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14770-2023</t>
        </is>
      </c>
      <c r="B5340" s="1" t="n">
        <v>45014</v>
      </c>
      <c r="C5340" s="1" t="n">
        <v>46011</v>
      </c>
      <c r="D5340" t="inlineStr">
        <is>
          <t>VÄSTRA GÖTALANDS LÄN</t>
        </is>
      </c>
      <c r="E5340" t="inlineStr">
        <is>
          <t>FALKÖPING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6452-2025</t>
        </is>
      </c>
      <c r="B5341" s="1" t="n">
        <v>45699.55243055556</v>
      </c>
      <c r="C5341" s="1" t="n">
        <v>46011</v>
      </c>
      <c r="D5341" t="inlineStr">
        <is>
          <t>VÄSTRA GÖTALANDS LÄN</t>
        </is>
      </c>
      <c r="E5341" t="inlineStr">
        <is>
          <t>BENGTSFORS</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28539-2025</t>
        </is>
      </c>
      <c r="B5342" s="1" t="n">
        <v>45819.51217592593</v>
      </c>
      <c r="C5342" s="1" t="n">
        <v>46011</v>
      </c>
      <c r="D5342" t="inlineStr">
        <is>
          <t>VÄSTRA GÖTALANDS LÄN</t>
        </is>
      </c>
      <c r="E5342" t="inlineStr">
        <is>
          <t>BORÅS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28546-2025</t>
        </is>
      </c>
      <c r="B5343" s="1" t="n">
        <v>45819.52787037037</v>
      </c>
      <c r="C5343" s="1" t="n">
        <v>46011</v>
      </c>
      <c r="D5343" t="inlineStr">
        <is>
          <t>VÄSTRA GÖTALANDS LÄN</t>
        </is>
      </c>
      <c r="E5343" t="inlineStr">
        <is>
          <t>TANUM</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42288-2025</t>
        </is>
      </c>
      <c r="B5344" s="1" t="n">
        <v>45904.6228587963</v>
      </c>
      <c r="C5344" s="1" t="n">
        <v>46011</v>
      </c>
      <c r="D5344" t="inlineStr">
        <is>
          <t>VÄSTRA GÖTALANDS LÄN</t>
        </is>
      </c>
      <c r="E5344" t="inlineStr">
        <is>
          <t>MUNKEDAL</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42292-2025</t>
        </is>
      </c>
      <c r="B5345" s="1" t="n">
        <v>45904.62887731481</v>
      </c>
      <c r="C5345" s="1" t="n">
        <v>46011</v>
      </c>
      <c r="D5345" t="inlineStr">
        <is>
          <t>VÄSTRA GÖTALANDS LÄN</t>
        </is>
      </c>
      <c r="E5345" t="inlineStr">
        <is>
          <t>HJO</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5180-2025</t>
        </is>
      </c>
      <c r="B5346" s="1" t="n">
        <v>45691.6365625</v>
      </c>
      <c r="C5346" s="1" t="n">
        <v>46011</v>
      </c>
      <c r="D5346" t="inlineStr">
        <is>
          <t>VÄSTRA GÖTALANDS LÄN</t>
        </is>
      </c>
      <c r="E5346" t="inlineStr">
        <is>
          <t>ULRICEHAMN</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3570-2023</t>
        </is>
      </c>
      <c r="B5347" s="1" t="n">
        <v>44950.49107638889</v>
      </c>
      <c r="C5347" s="1" t="n">
        <v>46011</v>
      </c>
      <c r="D5347" t="inlineStr">
        <is>
          <t>VÄSTRA GÖTALANDS LÄN</t>
        </is>
      </c>
      <c r="E5347" t="inlineStr">
        <is>
          <t>STENUNGSUND</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8124-2023</t>
        </is>
      </c>
      <c r="B5348" s="1" t="n">
        <v>44974</v>
      </c>
      <c r="C5348" s="1" t="n">
        <v>46011</v>
      </c>
      <c r="D5348" t="inlineStr">
        <is>
          <t>VÄSTRA GÖTALANDS LÄN</t>
        </is>
      </c>
      <c r="E5348" t="inlineStr">
        <is>
          <t>LIDKÖPING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17126-2022</t>
        </is>
      </c>
      <c r="B5349" s="1" t="n">
        <v>44677</v>
      </c>
      <c r="C5349" s="1" t="n">
        <v>46011</v>
      </c>
      <c r="D5349" t="inlineStr">
        <is>
          <t>VÄSTRA GÖTALANDS LÄN</t>
        </is>
      </c>
      <c r="E5349" t="inlineStr">
        <is>
          <t>TROLLHÄTTAN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8176-2023</t>
        </is>
      </c>
      <c r="B5350" s="1" t="n">
        <v>44974</v>
      </c>
      <c r="C5350" s="1" t="n">
        <v>46011</v>
      </c>
      <c r="D5350" t="inlineStr">
        <is>
          <t>VÄSTRA GÖTALANDS LÄN</t>
        </is>
      </c>
      <c r="E5350" t="inlineStr">
        <is>
          <t>ÅMÅL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28956-2025</t>
        </is>
      </c>
      <c r="B5351" s="1" t="n">
        <v>45821.30320601852</v>
      </c>
      <c r="C5351" s="1" t="n">
        <v>46011</v>
      </c>
      <c r="D5351" t="inlineStr">
        <is>
          <t>VÄSTRA GÖTALANDS LÄN</t>
        </is>
      </c>
      <c r="E5351" t="inlineStr">
        <is>
          <t>MARIESTAD</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20415-2025</t>
        </is>
      </c>
      <c r="B5352" s="1" t="n">
        <v>45775.46172453704</v>
      </c>
      <c r="C5352" s="1" t="n">
        <v>46011</v>
      </c>
      <c r="D5352" t="inlineStr">
        <is>
          <t>VÄSTRA GÖTALANDS LÄN</t>
        </is>
      </c>
      <c r="E5352" t="inlineStr">
        <is>
          <t>MARK</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16924-2025</t>
        </is>
      </c>
      <c r="B5353" s="1" t="n">
        <v>45755.3825462963</v>
      </c>
      <c r="C5353" s="1" t="n">
        <v>46011</v>
      </c>
      <c r="D5353" t="inlineStr">
        <is>
          <t>VÄSTRA GÖTALANDS LÄN</t>
        </is>
      </c>
      <c r="E5353" t="inlineStr">
        <is>
          <t>TIBRO</t>
        </is>
      </c>
      <c r="F5353" t="inlineStr">
        <is>
          <t>Sveaskog</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41985-2025</t>
        </is>
      </c>
      <c r="B5354" s="1" t="n">
        <v>45903.54034722222</v>
      </c>
      <c r="C5354" s="1" t="n">
        <v>46011</v>
      </c>
      <c r="D5354" t="inlineStr">
        <is>
          <t>VÄSTRA GÖTALANDS LÄN</t>
        </is>
      </c>
      <c r="E5354" t="inlineStr">
        <is>
          <t>BENGTSFORS</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41987-2025</t>
        </is>
      </c>
      <c r="B5355" s="1" t="n">
        <v>45903.54355324074</v>
      </c>
      <c r="C5355" s="1" t="n">
        <v>46011</v>
      </c>
      <c r="D5355" t="inlineStr">
        <is>
          <t>VÄSTRA GÖTALANDS LÄN</t>
        </is>
      </c>
      <c r="E5355" t="inlineStr">
        <is>
          <t>TANUM</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41988-2025</t>
        </is>
      </c>
      <c r="B5356" s="1" t="n">
        <v>45903.54369212963</v>
      </c>
      <c r="C5356" s="1" t="n">
        <v>46011</v>
      </c>
      <c r="D5356" t="inlineStr">
        <is>
          <t>VÄSTRA GÖTALANDS LÄN</t>
        </is>
      </c>
      <c r="E5356" t="inlineStr">
        <is>
          <t>TANUM</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41859-2025</t>
        </is>
      </c>
      <c r="B5357" s="1" t="n">
        <v>45903.23393518518</v>
      </c>
      <c r="C5357" s="1" t="n">
        <v>46011</v>
      </c>
      <c r="D5357" t="inlineStr">
        <is>
          <t>VÄSTRA GÖTALANDS LÄN</t>
        </is>
      </c>
      <c r="E5357" t="inlineStr">
        <is>
          <t>DALS-ED</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29433-2025</t>
        </is>
      </c>
      <c r="B5358" s="1" t="n">
        <v>45824.65635416667</v>
      </c>
      <c r="C5358" s="1" t="n">
        <v>46011</v>
      </c>
      <c r="D5358" t="inlineStr">
        <is>
          <t>VÄSTRA GÖTALANDS LÄN</t>
        </is>
      </c>
      <c r="E5358" t="inlineStr">
        <is>
          <t>LIDKÖPING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5995-2022</t>
        </is>
      </c>
      <c r="B5359" s="1" t="n">
        <v>44599.43216435185</v>
      </c>
      <c r="C5359" s="1" t="n">
        <v>46011</v>
      </c>
      <c r="D5359" t="inlineStr">
        <is>
          <t>VÄSTRA GÖTALANDS LÄN</t>
        </is>
      </c>
      <c r="E5359" t="inlineStr">
        <is>
          <t>SKÖVDE</t>
        </is>
      </c>
      <c r="F5359" t="inlineStr">
        <is>
          <t>Kyrkan</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12421-2024</t>
        </is>
      </c>
      <c r="B5360" s="1" t="n">
        <v>45379</v>
      </c>
      <c r="C5360" s="1" t="n">
        <v>46011</v>
      </c>
      <c r="D5360" t="inlineStr">
        <is>
          <t>VÄSTRA GÖTALANDS LÄN</t>
        </is>
      </c>
      <c r="E5360" t="inlineStr">
        <is>
          <t>ESSUNGA</t>
        </is>
      </c>
      <c r="F5360" t="inlineStr">
        <is>
          <t>Kyrkan</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12422-2024</t>
        </is>
      </c>
      <c r="B5361" s="1" t="n">
        <v>45379.43107638889</v>
      </c>
      <c r="C5361" s="1" t="n">
        <v>46011</v>
      </c>
      <c r="D5361" t="inlineStr">
        <is>
          <t>VÄSTRA GÖTALANDS LÄN</t>
        </is>
      </c>
      <c r="E5361" t="inlineStr">
        <is>
          <t>MARK</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20240-2023</t>
        </is>
      </c>
      <c r="B5362" s="1" t="n">
        <v>45055.68784722222</v>
      </c>
      <c r="C5362" s="1" t="n">
        <v>46011</v>
      </c>
      <c r="D5362" t="inlineStr">
        <is>
          <t>VÄSTRA GÖTALANDS LÄN</t>
        </is>
      </c>
      <c r="E5362" t="inlineStr">
        <is>
          <t>VARA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15991-2023</t>
        </is>
      </c>
      <c r="B5363" s="1" t="n">
        <v>45023</v>
      </c>
      <c r="C5363" s="1" t="n">
        <v>46011</v>
      </c>
      <c r="D5363" t="inlineStr">
        <is>
          <t>VÄSTRA GÖTALANDS LÄN</t>
        </is>
      </c>
      <c r="E5363" t="inlineStr">
        <is>
          <t>TANUM</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29341-2025</t>
        </is>
      </c>
      <c r="B5364" s="1" t="n">
        <v>45824.5056712963</v>
      </c>
      <c r="C5364" s="1" t="n">
        <v>46011</v>
      </c>
      <c r="D5364" t="inlineStr">
        <is>
          <t>VÄSTRA GÖTALANDS LÄN</t>
        </is>
      </c>
      <c r="E5364" t="inlineStr">
        <is>
          <t>SKÖVDE</t>
        </is>
      </c>
      <c r="F5364" t="inlineStr">
        <is>
          <t>Kommuner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29342-2025</t>
        </is>
      </c>
      <c r="B5365" s="1" t="n">
        <v>45824.50614583334</v>
      </c>
      <c r="C5365" s="1" t="n">
        <v>46011</v>
      </c>
      <c r="D5365" t="inlineStr">
        <is>
          <t>VÄSTRA GÖTALANDS LÄN</t>
        </is>
      </c>
      <c r="E5365" t="inlineStr">
        <is>
          <t>SVENLJUNGA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29345-2025</t>
        </is>
      </c>
      <c r="B5366" s="1" t="n">
        <v>45824.50850694445</v>
      </c>
      <c r="C5366" s="1" t="n">
        <v>46011</v>
      </c>
      <c r="D5366" t="inlineStr">
        <is>
          <t>VÄSTRA GÖTALANDS LÄN</t>
        </is>
      </c>
      <c r="E5366" t="inlineStr">
        <is>
          <t>SVENLJUNGA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29371-2025</t>
        </is>
      </c>
      <c r="B5367" s="1" t="n">
        <v>45824</v>
      </c>
      <c r="C5367" s="1" t="n">
        <v>46011</v>
      </c>
      <c r="D5367" t="inlineStr">
        <is>
          <t>VÄSTRA GÖTALANDS LÄN</t>
        </is>
      </c>
      <c r="E5367" t="inlineStr">
        <is>
          <t>TANUM</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42757-2024</t>
        </is>
      </c>
      <c r="B5368" s="1" t="n">
        <v>45566.496875</v>
      </c>
      <c r="C5368" s="1" t="n">
        <v>46011</v>
      </c>
      <c r="D5368" t="inlineStr">
        <is>
          <t>VÄSTRA GÖTALANDS LÄN</t>
        </is>
      </c>
      <c r="E5368" t="inlineStr">
        <is>
          <t>KARLSBORG</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42761-2024</t>
        </is>
      </c>
      <c r="B5369" s="1" t="n">
        <v>45566.49981481482</v>
      </c>
      <c r="C5369" s="1" t="n">
        <v>46011</v>
      </c>
      <c r="D5369" t="inlineStr">
        <is>
          <t>VÄSTRA GÖTALANDS LÄN</t>
        </is>
      </c>
      <c r="E5369" t="inlineStr">
        <is>
          <t>ULRICEHAMN</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40743-2024</t>
        </is>
      </c>
      <c r="B5370" s="1" t="n">
        <v>45558.45</v>
      </c>
      <c r="C5370" s="1" t="n">
        <v>46011</v>
      </c>
      <c r="D5370" t="inlineStr">
        <is>
          <t>VÄSTRA GÖTALANDS LÄN</t>
        </is>
      </c>
      <c r="E5370" t="inlineStr">
        <is>
          <t>ORUST</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29015-2025</t>
        </is>
      </c>
      <c r="B5371" s="1" t="n">
        <v>45821.41212962963</v>
      </c>
      <c r="C5371" s="1" t="n">
        <v>46011</v>
      </c>
      <c r="D5371" t="inlineStr">
        <is>
          <t>VÄSTRA GÖTALANDS LÄN</t>
        </is>
      </c>
      <c r="E5371" t="inlineStr">
        <is>
          <t>SKÖVDE</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43229-2024</t>
        </is>
      </c>
      <c r="B5372" s="1" t="n">
        <v>45567.88697916667</v>
      </c>
      <c r="C5372" s="1" t="n">
        <v>46011</v>
      </c>
      <c r="D5372" t="inlineStr">
        <is>
          <t>VÄSTRA GÖTALANDS LÄN</t>
        </is>
      </c>
      <c r="E5372" t="inlineStr">
        <is>
          <t>TJÖRN</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42329-2025</t>
        </is>
      </c>
      <c r="B5373" s="1" t="n">
        <v>45904.68760416667</v>
      </c>
      <c r="C5373" s="1" t="n">
        <v>46011</v>
      </c>
      <c r="D5373" t="inlineStr">
        <is>
          <t>VÄSTRA GÖTALANDS LÄN</t>
        </is>
      </c>
      <c r="E5373" t="inlineStr">
        <is>
          <t>FÄRGELANDA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42338-2025</t>
        </is>
      </c>
      <c r="B5374" s="1" t="n">
        <v>45904.70866898148</v>
      </c>
      <c r="C5374" s="1" t="n">
        <v>46011</v>
      </c>
      <c r="D5374" t="inlineStr">
        <is>
          <t>VÄSTRA GÖTALANDS LÄN</t>
        </is>
      </c>
      <c r="E5374" t="inlineStr">
        <is>
          <t>TIDAHOLM</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42339-2025</t>
        </is>
      </c>
      <c r="B5375" s="1" t="n">
        <v>45904.71075231482</v>
      </c>
      <c r="C5375" s="1" t="n">
        <v>46011</v>
      </c>
      <c r="D5375" t="inlineStr">
        <is>
          <t>VÄSTRA GÖTALANDS LÄN</t>
        </is>
      </c>
      <c r="E5375" t="inlineStr">
        <is>
          <t>TIDAHOLM</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10444-2022</t>
        </is>
      </c>
      <c r="B5376" s="1" t="n">
        <v>44623</v>
      </c>
      <c r="C5376" s="1" t="n">
        <v>46011</v>
      </c>
      <c r="D5376" t="inlineStr">
        <is>
          <t>VÄSTRA GÖTALANDS LÄN</t>
        </is>
      </c>
      <c r="E5376" t="inlineStr">
        <is>
          <t>VÄNERSBORG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43799-2024</t>
        </is>
      </c>
      <c r="B5377" s="1" t="n">
        <v>45571.62708333333</v>
      </c>
      <c r="C5377" s="1" t="n">
        <v>46011</v>
      </c>
      <c r="D5377" t="inlineStr">
        <is>
          <t>VÄSTRA GÖTALANDS LÄN</t>
        </is>
      </c>
      <c r="E5377" t="inlineStr">
        <is>
          <t>VÄNERSBORG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29167-2025</t>
        </is>
      </c>
      <c r="B5378" s="1" t="n">
        <v>45821</v>
      </c>
      <c r="C5378" s="1" t="n">
        <v>46011</v>
      </c>
      <c r="D5378" t="inlineStr">
        <is>
          <t>VÄSTRA GÖTALANDS LÄN</t>
        </is>
      </c>
      <c r="E5378" t="inlineStr">
        <is>
          <t>GULLSPÅNG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29180-2025</t>
        </is>
      </c>
      <c r="B5379" s="1" t="n">
        <v>45821</v>
      </c>
      <c r="C5379" s="1" t="n">
        <v>46011</v>
      </c>
      <c r="D5379" t="inlineStr">
        <is>
          <t>VÄSTRA GÖTALANDS LÄN</t>
        </is>
      </c>
      <c r="E5379" t="inlineStr">
        <is>
          <t>TÖREBODA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29243-2025</t>
        </is>
      </c>
      <c r="B5380" s="1" t="n">
        <v>45824.36542824074</v>
      </c>
      <c r="C5380" s="1" t="n">
        <v>46011</v>
      </c>
      <c r="D5380" t="inlineStr">
        <is>
          <t>VÄSTRA GÖTALANDS LÄN</t>
        </is>
      </c>
      <c r="E5380" t="inlineStr">
        <is>
          <t>TANUM</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42598-2024</t>
        </is>
      </c>
      <c r="B5381" s="1" t="n">
        <v>45565.70193287037</v>
      </c>
      <c r="C5381" s="1" t="n">
        <v>46011</v>
      </c>
      <c r="D5381" t="inlineStr">
        <is>
          <t>VÄSTRA GÖTALANDS LÄN</t>
        </is>
      </c>
      <c r="E5381" t="inlineStr">
        <is>
          <t>KARLSBORG</t>
        </is>
      </c>
      <c r="G5381" t="n">
        <v>8.9</v>
      </c>
      <c r="H5381" t="n">
        <v>0</v>
      </c>
      <c r="I5381" t="n">
        <v>0</v>
      </c>
      <c r="J5381" t="n">
        <v>0</v>
      </c>
      <c r="K5381" t="n">
        <v>0</v>
      </c>
      <c r="L5381" t="n">
        <v>0</v>
      </c>
      <c r="M5381" t="n">
        <v>0</v>
      </c>
      <c r="N5381" t="n">
        <v>0</v>
      </c>
      <c r="O5381" t="n">
        <v>0</v>
      </c>
      <c r="P5381" t="n">
        <v>0</v>
      </c>
      <c r="Q5381" t="n">
        <v>0</v>
      </c>
      <c r="R5381" s="2" t="inlineStr"/>
    </row>
    <row r="5382" ht="15" customHeight="1">
      <c r="A5382" t="inlineStr">
        <is>
          <t>A 42638-2024</t>
        </is>
      </c>
      <c r="B5382" s="1" t="n">
        <v>45565.9112037037</v>
      </c>
      <c r="C5382" s="1" t="n">
        <v>46011</v>
      </c>
      <c r="D5382" t="inlineStr">
        <is>
          <t>VÄSTRA GÖTALANDS LÄN</t>
        </is>
      </c>
      <c r="E5382" t="inlineStr">
        <is>
          <t>BENGTSFORS</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28960-2025</t>
        </is>
      </c>
      <c r="B5383" s="1" t="n">
        <v>45821.31986111111</v>
      </c>
      <c r="C5383" s="1" t="n">
        <v>46011</v>
      </c>
      <c r="D5383" t="inlineStr">
        <is>
          <t>VÄSTRA GÖTALANDS LÄN</t>
        </is>
      </c>
      <c r="E5383" t="inlineStr">
        <is>
          <t>VÄNERSBORG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58599-2022</t>
        </is>
      </c>
      <c r="B5384" s="1" t="n">
        <v>44902.55736111111</v>
      </c>
      <c r="C5384" s="1" t="n">
        <v>46011</v>
      </c>
      <c r="D5384" t="inlineStr">
        <is>
          <t>VÄSTRA GÖTALANDS LÄN</t>
        </is>
      </c>
      <c r="E5384" t="inlineStr">
        <is>
          <t>MARK</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31889-2023</t>
        </is>
      </c>
      <c r="B5385" s="1" t="n">
        <v>45118</v>
      </c>
      <c r="C5385" s="1" t="n">
        <v>46011</v>
      </c>
      <c r="D5385" t="inlineStr">
        <is>
          <t>VÄSTRA GÖTALANDS LÄN</t>
        </is>
      </c>
      <c r="E5385" t="inlineStr">
        <is>
          <t>BOLLEBYGD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31909-2023</t>
        </is>
      </c>
      <c r="B5386" s="1" t="n">
        <v>45118.91273148148</v>
      </c>
      <c r="C5386" s="1" t="n">
        <v>46011</v>
      </c>
      <c r="D5386" t="inlineStr">
        <is>
          <t>VÄSTRA GÖTALANDS LÄN</t>
        </is>
      </c>
      <c r="E5386" t="inlineStr">
        <is>
          <t>DALS-ED</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29448-2025</t>
        </is>
      </c>
      <c r="B5387" s="1" t="n">
        <v>45824.66903935185</v>
      </c>
      <c r="C5387" s="1" t="n">
        <v>46011</v>
      </c>
      <c r="D5387" t="inlineStr">
        <is>
          <t>VÄSTRA GÖTALANDS LÄN</t>
        </is>
      </c>
      <c r="E5387" t="inlineStr">
        <is>
          <t>MARIESTAD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29026-2023</t>
        </is>
      </c>
      <c r="B5388" s="1" t="n">
        <v>45104.70768518518</v>
      </c>
      <c r="C5388" s="1" t="n">
        <v>46011</v>
      </c>
      <c r="D5388" t="inlineStr">
        <is>
          <t>VÄSTRA GÖTALANDS LÄN</t>
        </is>
      </c>
      <c r="E5388" t="inlineStr">
        <is>
          <t>BORÅS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29428-2025</t>
        </is>
      </c>
      <c r="B5389" s="1" t="n">
        <v>45824</v>
      </c>
      <c r="C5389" s="1" t="n">
        <v>46011</v>
      </c>
      <c r="D5389" t="inlineStr">
        <is>
          <t>VÄSTRA GÖTALANDS LÄN</t>
        </is>
      </c>
      <c r="E5389" t="inlineStr">
        <is>
          <t>ÅMÅL</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42237-2025</t>
        </is>
      </c>
      <c r="B5390" s="1" t="n">
        <v>45904.56365740741</v>
      </c>
      <c r="C5390" s="1" t="n">
        <v>46011</v>
      </c>
      <c r="D5390" t="inlineStr">
        <is>
          <t>VÄSTRA GÖTALANDS LÄN</t>
        </is>
      </c>
      <c r="E5390" t="inlineStr">
        <is>
          <t>VARA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42238-2025</t>
        </is>
      </c>
      <c r="B5391" s="1" t="n">
        <v>45904.56431712963</v>
      </c>
      <c r="C5391" s="1" t="n">
        <v>46011</v>
      </c>
      <c r="D5391" t="inlineStr">
        <is>
          <t>VÄSTRA GÖTALANDS LÄN</t>
        </is>
      </c>
      <c r="E5391" t="inlineStr">
        <is>
          <t>ULRICEHAMN</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42314-2025</t>
        </is>
      </c>
      <c r="B5392" s="1" t="n">
        <v>45904.65920138889</v>
      </c>
      <c r="C5392" s="1" t="n">
        <v>46011</v>
      </c>
      <c r="D5392" t="inlineStr">
        <is>
          <t>VÄSTRA GÖTALANDS LÄN</t>
        </is>
      </c>
      <c r="E5392" t="inlineStr">
        <is>
          <t>DALS-ED</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42332-2025</t>
        </is>
      </c>
      <c r="B5393" s="1" t="n">
        <v>45904.69476851852</v>
      </c>
      <c r="C5393" s="1" t="n">
        <v>46011</v>
      </c>
      <c r="D5393" t="inlineStr">
        <is>
          <t>VÄSTRA GÖTALANDS LÄN</t>
        </is>
      </c>
      <c r="E5393" t="inlineStr">
        <is>
          <t>TIDAHOLM</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42021-2025</t>
        </is>
      </c>
      <c r="B5394" s="1" t="n">
        <v>45903.59125</v>
      </c>
      <c r="C5394" s="1" t="n">
        <v>46011</v>
      </c>
      <c r="D5394" t="inlineStr">
        <is>
          <t>VÄSTRA GÖTALANDS LÄN</t>
        </is>
      </c>
      <c r="E5394" t="inlineStr">
        <is>
          <t>VÄNERSBORG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43856-2024</t>
        </is>
      </c>
      <c r="B5395" s="1" t="n">
        <v>45572.35760416667</v>
      </c>
      <c r="C5395" s="1" t="n">
        <v>46011</v>
      </c>
      <c r="D5395" t="inlineStr">
        <is>
          <t>VÄSTRA GÖTALANDS LÄN</t>
        </is>
      </c>
      <c r="E5395" t="inlineStr">
        <is>
          <t>VÄNERSBORG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6283-2023</t>
        </is>
      </c>
      <c r="B5396" s="1" t="n">
        <v>44965</v>
      </c>
      <c r="C5396" s="1" t="n">
        <v>46011</v>
      </c>
      <c r="D5396" t="inlineStr">
        <is>
          <t>VÄSTRA GÖTALANDS LÄN</t>
        </is>
      </c>
      <c r="E5396" t="inlineStr">
        <is>
          <t>MELLERUD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27339-2024</t>
        </is>
      </c>
      <c r="B5397" s="1" t="n">
        <v>45472.91881944444</v>
      </c>
      <c r="C5397" s="1" t="n">
        <v>46011</v>
      </c>
      <c r="D5397" t="inlineStr">
        <is>
          <t>VÄSTRA GÖTALANDS LÄN</t>
        </is>
      </c>
      <c r="E5397" t="inlineStr">
        <is>
          <t>BORÅS</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29012-2025</t>
        </is>
      </c>
      <c r="B5398" s="1" t="n">
        <v>45821.40665509259</v>
      </c>
      <c r="C5398" s="1" t="n">
        <v>46011</v>
      </c>
      <c r="D5398" t="inlineStr">
        <is>
          <t>VÄSTRA GÖTALANDS LÄN</t>
        </is>
      </c>
      <c r="E5398" t="inlineStr">
        <is>
          <t>SKÖVDE</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16510-2024</t>
        </is>
      </c>
      <c r="B5399" s="1" t="n">
        <v>45408.386875</v>
      </c>
      <c r="C5399" s="1" t="n">
        <v>46011</v>
      </c>
      <c r="D5399" t="inlineStr">
        <is>
          <t>VÄSTRA GÖTALANDS LÄN</t>
        </is>
      </c>
      <c r="E5399" t="inlineStr">
        <is>
          <t>SKARA</t>
        </is>
      </c>
      <c r="F5399" t="inlineStr">
        <is>
          <t>Sveaskog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6323-2023</t>
        </is>
      </c>
      <c r="B5400" s="1" t="n">
        <v>44960</v>
      </c>
      <c r="C5400" s="1" t="n">
        <v>46011</v>
      </c>
      <c r="D5400" t="inlineStr">
        <is>
          <t>VÄSTRA GÖTALANDS LÄN</t>
        </is>
      </c>
      <c r="E5400" t="inlineStr">
        <is>
          <t>LILLA EDET</t>
        </is>
      </c>
      <c r="F5400" t="inlineStr">
        <is>
          <t>Kyrkan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44000-2022</t>
        </is>
      </c>
      <c r="B5401" s="1" t="n">
        <v>44838</v>
      </c>
      <c r="C5401" s="1" t="n">
        <v>46011</v>
      </c>
      <c r="D5401" t="inlineStr">
        <is>
          <t>VÄSTRA GÖTALANDS LÄN</t>
        </is>
      </c>
      <c r="E5401" t="inlineStr">
        <is>
          <t>FALKÖPING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44023-2022</t>
        </is>
      </c>
      <c r="B5402" s="1" t="n">
        <v>44838.83872685185</v>
      </c>
      <c r="C5402" s="1" t="n">
        <v>46011</v>
      </c>
      <c r="D5402" t="inlineStr">
        <is>
          <t>VÄSTRA GÖTALANDS LÄN</t>
        </is>
      </c>
      <c r="E5402" t="inlineStr">
        <is>
          <t>FALKÖPING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43921-2024</t>
        </is>
      </c>
      <c r="B5403" s="1" t="n">
        <v>45571</v>
      </c>
      <c r="C5403" s="1" t="n">
        <v>46011</v>
      </c>
      <c r="D5403" t="inlineStr">
        <is>
          <t>VÄSTRA GÖTALANDS LÄN</t>
        </is>
      </c>
      <c r="E5403" t="inlineStr">
        <is>
          <t>TANUM</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29303-2025</t>
        </is>
      </c>
      <c r="B5404" s="1" t="n">
        <v>45824.45894675926</v>
      </c>
      <c r="C5404" s="1" t="n">
        <v>46011</v>
      </c>
      <c r="D5404" t="inlineStr">
        <is>
          <t>VÄSTRA GÖTALANDS LÄN</t>
        </is>
      </c>
      <c r="E5404" t="inlineStr">
        <is>
          <t>VARA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29335-2025</t>
        </is>
      </c>
      <c r="B5405" s="1" t="n">
        <v>45824.49121527778</v>
      </c>
      <c r="C5405" s="1" t="n">
        <v>46011</v>
      </c>
      <c r="D5405" t="inlineStr">
        <is>
          <t>VÄSTRA GÖTALANDS LÄN</t>
        </is>
      </c>
      <c r="E5405" t="inlineStr">
        <is>
          <t>SKÖVDE</t>
        </is>
      </c>
      <c r="F5405" t="inlineStr">
        <is>
          <t>Kommuner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98-2021</t>
        </is>
      </c>
      <c r="B5406" s="1" t="n">
        <v>44200</v>
      </c>
      <c r="C5406" s="1" t="n">
        <v>46011</v>
      </c>
      <c r="D5406" t="inlineStr">
        <is>
          <t>VÄSTRA GÖTALANDS LÄN</t>
        </is>
      </c>
      <c r="E5406" t="inlineStr">
        <is>
          <t>SVENLJUNGA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35372-2021</t>
        </is>
      </c>
      <c r="B5407" s="1" t="n">
        <v>44384</v>
      </c>
      <c r="C5407" s="1" t="n">
        <v>46011</v>
      </c>
      <c r="D5407" t="inlineStr">
        <is>
          <t>VÄSTRA GÖTALANDS LÄN</t>
        </is>
      </c>
      <c r="E5407" t="inlineStr">
        <is>
          <t>TROLLHÄTTAN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29245-2025</t>
        </is>
      </c>
      <c r="B5408" s="1" t="n">
        <v>45824.3672337963</v>
      </c>
      <c r="C5408" s="1" t="n">
        <v>46011</v>
      </c>
      <c r="D5408" t="inlineStr">
        <is>
          <t>VÄSTRA GÖTALANDS LÄN</t>
        </is>
      </c>
      <c r="E5408" t="inlineStr">
        <is>
          <t>MARIESTAD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19699-2024</t>
        </is>
      </c>
      <c r="B5409" s="1" t="n">
        <v>45432.54230324074</v>
      </c>
      <c r="C5409" s="1" t="n">
        <v>46011</v>
      </c>
      <c r="D5409" t="inlineStr">
        <is>
          <t>VÄSTRA GÖTALANDS LÄN</t>
        </is>
      </c>
      <c r="E5409" t="inlineStr">
        <is>
          <t>SVENLJUNGA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10082-2024</t>
        </is>
      </c>
      <c r="B5410" s="1" t="n">
        <v>45364.4331712963</v>
      </c>
      <c r="C5410" s="1" t="n">
        <v>46011</v>
      </c>
      <c r="D5410" t="inlineStr">
        <is>
          <t>VÄSTRA GÖTALANDS LÄN</t>
        </is>
      </c>
      <c r="E5410" t="inlineStr">
        <is>
          <t>SVENLJUNGA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1446-2021</t>
        </is>
      </c>
      <c r="B5411" s="1" t="n">
        <v>44208</v>
      </c>
      <c r="C5411" s="1" t="n">
        <v>46011</v>
      </c>
      <c r="D5411" t="inlineStr">
        <is>
          <t>VÄSTRA GÖTALANDS LÄN</t>
        </is>
      </c>
      <c r="E5411" t="inlineStr">
        <is>
          <t>HERRLJUNGA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29373-2025</t>
        </is>
      </c>
      <c r="B5412" s="1" t="n">
        <v>45824.579375</v>
      </c>
      <c r="C5412" s="1" t="n">
        <v>46011</v>
      </c>
      <c r="D5412" t="inlineStr">
        <is>
          <t>VÄSTRA GÖTALANDS LÄN</t>
        </is>
      </c>
      <c r="E5412" t="inlineStr">
        <is>
          <t>ALE</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42188-2025</t>
        </is>
      </c>
      <c r="B5413" s="1" t="n">
        <v>45904.46631944444</v>
      </c>
      <c r="C5413" s="1" t="n">
        <v>46011</v>
      </c>
      <c r="D5413" t="inlineStr">
        <is>
          <t>VÄSTRA GÖTALANDS LÄN</t>
        </is>
      </c>
      <c r="E5413" t="inlineStr">
        <is>
          <t>LIDKÖPING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42190-2025</t>
        </is>
      </c>
      <c r="B5414" s="1" t="n">
        <v>45904.47331018518</v>
      </c>
      <c r="C5414" s="1" t="n">
        <v>46011</v>
      </c>
      <c r="D5414" t="inlineStr">
        <is>
          <t>VÄSTRA GÖTALANDS LÄN</t>
        </is>
      </c>
      <c r="E5414" t="inlineStr">
        <is>
          <t>DALS-ED</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29200-2025</t>
        </is>
      </c>
      <c r="B5415" s="1" t="n">
        <v>45823.35009259259</v>
      </c>
      <c r="C5415" s="1" t="n">
        <v>46011</v>
      </c>
      <c r="D5415" t="inlineStr">
        <is>
          <t>VÄSTRA GÖTALANDS LÄN</t>
        </is>
      </c>
      <c r="E5415" t="inlineStr">
        <is>
          <t>VARA</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32527-2024</t>
        </is>
      </c>
      <c r="B5416" s="1" t="n">
        <v>45513.47659722222</v>
      </c>
      <c r="C5416" s="1" t="n">
        <v>46011</v>
      </c>
      <c r="D5416" t="inlineStr">
        <is>
          <t>VÄSTRA GÖTALANDS LÄN</t>
        </is>
      </c>
      <c r="E5416" t="inlineStr">
        <is>
          <t>TROLLHÄTTAN</t>
        </is>
      </c>
      <c r="F5416" t="inlineStr">
        <is>
          <t>Kyrkan</t>
        </is>
      </c>
      <c r="G5416" t="n">
        <v>8.699999999999999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1883-2023</t>
        </is>
      </c>
      <c r="B5417" s="1" t="n">
        <v>44939.32333333333</v>
      </c>
      <c r="C5417" s="1" t="n">
        <v>46011</v>
      </c>
      <c r="D5417" t="inlineStr">
        <is>
          <t>VÄSTRA GÖTALANDS LÄN</t>
        </is>
      </c>
      <c r="E5417" t="inlineStr">
        <is>
          <t>MELLERUD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29017-2025</t>
        </is>
      </c>
      <c r="B5418" s="1" t="n">
        <v>45821.41775462963</v>
      </c>
      <c r="C5418" s="1" t="n">
        <v>46011</v>
      </c>
      <c r="D5418" t="inlineStr">
        <is>
          <t>VÄSTRA GÖTALANDS LÄN</t>
        </is>
      </c>
      <c r="E5418" t="inlineStr">
        <is>
          <t>SKÖVDE</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10929-2024</t>
        </is>
      </c>
      <c r="B5419" s="1" t="n">
        <v>45370.43350694444</v>
      </c>
      <c r="C5419" s="1" t="n">
        <v>46011</v>
      </c>
      <c r="D5419" t="inlineStr">
        <is>
          <t>VÄSTRA GÖTALANDS LÄN</t>
        </is>
      </c>
      <c r="E5419" t="inlineStr">
        <is>
          <t>FALKÖPING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42306-2025</t>
        </is>
      </c>
      <c r="B5420" s="1" t="n">
        <v>45904.65074074074</v>
      </c>
      <c r="C5420" s="1" t="n">
        <v>46011</v>
      </c>
      <c r="D5420" t="inlineStr">
        <is>
          <t>VÄSTRA GÖTALANDS LÄN</t>
        </is>
      </c>
      <c r="E5420" t="inlineStr">
        <is>
          <t>DALS-ED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61247-2023</t>
        </is>
      </c>
      <c r="B5421" s="1" t="n">
        <v>45264.46984953704</v>
      </c>
      <c r="C5421" s="1" t="n">
        <v>46011</v>
      </c>
      <c r="D5421" t="inlineStr">
        <is>
          <t>VÄSTRA GÖTALANDS LÄN</t>
        </is>
      </c>
      <c r="E5421" t="inlineStr">
        <is>
          <t>MARK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61250-2023</t>
        </is>
      </c>
      <c r="B5422" s="1" t="n">
        <v>45264.47670138889</v>
      </c>
      <c r="C5422" s="1" t="n">
        <v>46011</v>
      </c>
      <c r="D5422" t="inlineStr">
        <is>
          <t>VÄSTRA GÖTALANDS LÄN</t>
        </is>
      </c>
      <c r="E5422" t="inlineStr">
        <is>
          <t>MARK</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42069-2025</t>
        </is>
      </c>
      <c r="B5423" s="1" t="n">
        <v>45903.65700231482</v>
      </c>
      <c r="C5423" s="1" t="n">
        <v>46011</v>
      </c>
      <c r="D5423" t="inlineStr">
        <is>
          <t>VÄSTRA GÖTALANDS LÄN</t>
        </is>
      </c>
      <c r="E5423" t="inlineStr">
        <is>
          <t>ORUST</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29057-2025</t>
        </is>
      </c>
      <c r="B5424" s="1" t="n">
        <v>45821.47336805556</v>
      </c>
      <c r="C5424" s="1" t="n">
        <v>46011</v>
      </c>
      <c r="D5424" t="inlineStr">
        <is>
          <t>VÄSTRA GÖTALANDS LÄN</t>
        </is>
      </c>
      <c r="E5424" t="inlineStr">
        <is>
          <t>ULRICEHAMN</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29064-2025</t>
        </is>
      </c>
      <c r="B5425" s="1" t="n">
        <v>45821</v>
      </c>
      <c r="C5425" s="1" t="n">
        <v>46011</v>
      </c>
      <c r="D5425" t="inlineStr">
        <is>
          <t>VÄSTRA GÖTALANDS LÄN</t>
        </is>
      </c>
      <c r="E5425" t="inlineStr">
        <is>
          <t>HJO</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29126-2025</t>
        </is>
      </c>
      <c r="B5426" s="1" t="n">
        <v>45821.59480324074</v>
      </c>
      <c r="C5426" s="1" t="n">
        <v>46011</v>
      </c>
      <c r="D5426" t="inlineStr">
        <is>
          <t>VÄSTRA GÖTALANDS LÄN</t>
        </is>
      </c>
      <c r="E5426" t="inlineStr">
        <is>
          <t>BORÅS</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29325-2025</t>
        </is>
      </c>
      <c r="B5427" s="1" t="n">
        <v>45824</v>
      </c>
      <c r="C5427" s="1" t="n">
        <v>46011</v>
      </c>
      <c r="D5427" t="inlineStr">
        <is>
          <t>VÄSTRA GÖTALANDS LÄN</t>
        </is>
      </c>
      <c r="E5427" t="inlineStr">
        <is>
          <t>ULRICEHAMN</t>
        </is>
      </c>
      <c r="G5427" t="n">
        <v>14.8</v>
      </c>
      <c r="H5427" t="n">
        <v>0</v>
      </c>
      <c r="I5427" t="n">
        <v>0</v>
      </c>
      <c r="J5427" t="n">
        <v>0</v>
      </c>
      <c r="K5427" t="n">
        <v>0</v>
      </c>
      <c r="L5427" t="n">
        <v>0</v>
      </c>
      <c r="M5427" t="n">
        <v>0</v>
      </c>
      <c r="N5427" t="n">
        <v>0</v>
      </c>
      <c r="O5427" t="n">
        <v>0</v>
      </c>
      <c r="P5427" t="n">
        <v>0</v>
      </c>
      <c r="Q5427" t="n">
        <v>0</v>
      </c>
      <c r="R5427" s="2" t="inlineStr"/>
    </row>
    <row r="5428" ht="15" customHeight="1">
      <c r="A5428" t="inlineStr">
        <is>
          <t>A 41511-2024</t>
        </is>
      </c>
      <c r="B5428" s="1" t="n">
        <v>45560.47459490741</v>
      </c>
      <c r="C5428" s="1" t="n">
        <v>46011</v>
      </c>
      <c r="D5428" t="inlineStr">
        <is>
          <t>VÄSTRA GÖTALANDS LÄN</t>
        </is>
      </c>
      <c r="E5428" t="inlineStr">
        <is>
          <t>UDDEVALLA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42310-2025</t>
        </is>
      </c>
      <c r="B5429" s="1" t="n">
        <v>45904.65412037037</v>
      </c>
      <c r="C5429" s="1" t="n">
        <v>46011</v>
      </c>
      <c r="D5429" t="inlineStr">
        <is>
          <t>VÄSTRA GÖTALANDS LÄN</t>
        </is>
      </c>
      <c r="E5429" t="inlineStr">
        <is>
          <t>FÄRGELANDA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42334-2025</t>
        </is>
      </c>
      <c r="B5430" s="1" t="n">
        <v>45904.6984375</v>
      </c>
      <c r="C5430" s="1" t="n">
        <v>46011</v>
      </c>
      <c r="D5430" t="inlineStr">
        <is>
          <t>VÄSTRA GÖTALANDS LÄN</t>
        </is>
      </c>
      <c r="E5430" t="inlineStr">
        <is>
          <t>TIDAHOLM</t>
        </is>
      </c>
      <c r="F5430" t="inlineStr">
        <is>
          <t>Sveaskog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42336-2025</t>
        </is>
      </c>
      <c r="B5431" s="1" t="n">
        <v>45904.70483796296</v>
      </c>
      <c r="C5431" s="1" t="n">
        <v>46011</v>
      </c>
      <c r="D5431" t="inlineStr">
        <is>
          <t>VÄSTRA GÖTALANDS LÄN</t>
        </is>
      </c>
      <c r="E5431" t="inlineStr">
        <is>
          <t>TIDAHOLM</t>
        </is>
      </c>
      <c r="F5431" t="inlineStr">
        <is>
          <t>Sveaskog</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8986-2024</t>
        </is>
      </c>
      <c r="B5432" s="1" t="n">
        <v>45356</v>
      </c>
      <c r="C5432" s="1" t="n">
        <v>46011</v>
      </c>
      <c r="D5432" t="inlineStr">
        <is>
          <t>VÄSTRA GÖTALANDS LÄN</t>
        </is>
      </c>
      <c r="E5432" t="inlineStr">
        <is>
          <t>BENGTSFORS</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59684-2022</t>
        </is>
      </c>
      <c r="B5433" s="1" t="n">
        <v>44908</v>
      </c>
      <c r="C5433" s="1" t="n">
        <v>46011</v>
      </c>
      <c r="D5433" t="inlineStr">
        <is>
          <t>VÄSTRA GÖTALANDS LÄN</t>
        </is>
      </c>
      <c r="E5433" t="inlineStr">
        <is>
          <t>VÅRGÅRDA</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40261-2024</t>
        </is>
      </c>
      <c r="B5434" s="1" t="n">
        <v>45554.63262731482</v>
      </c>
      <c r="C5434" s="1" t="n">
        <v>46011</v>
      </c>
      <c r="D5434" t="inlineStr">
        <is>
          <t>VÄSTRA GÖTALANDS LÄN</t>
        </is>
      </c>
      <c r="E5434" t="inlineStr">
        <is>
          <t>ÅMÅL</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16747-2023</t>
        </is>
      </c>
      <c r="B5435" s="1" t="n">
        <v>45030</v>
      </c>
      <c r="C5435" s="1" t="n">
        <v>46011</v>
      </c>
      <c r="D5435" t="inlineStr">
        <is>
          <t>VÄSTRA GÖTALANDS LÄN</t>
        </is>
      </c>
      <c r="E5435" t="inlineStr">
        <is>
          <t>VÄNERSBORG</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42307-2025</t>
        </is>
      </c>
      <c r="B5436" s="1" t="n">
        <v>45904.65253472222</v>
      </c>
      <c r="C5436" s="1" t="n">
        <v>46011</v>
      </c>
      <c r="D5436" t="inlineStr">
        <is>
          <t>VÄSTRA GÖTALANDS LÄN</t>
        </is>
      </c>
      <c r="E5436" t="inlineStr">
        <is>
          <t>HÄRRYDA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42110-2025</t>
        </is>
      </c>
      <c r="B5437" s="1" t="n">
        <v>45904.31189814815</v>
      </c>
      <c r="C5437" s="1" t="n">
        <v>46011</v>
      </c>
      <c r="D5437" t="inlineStr">
        <is>
          <t>VÄSTRA GÖTALANDS LÄN</t>
        </is>
      </c>
      <c r="E5437" t="inlineStr">
        <is>
          <t>SVENLJUNGA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11815-2023</t>
        </is>
      </c>
      <c r="B5438" s="1" t="n">
        <v>44994.81083333334</v>
      </c>
      <c r="C5438" s="1" t="n">
        <v>46011</v>
      </c>
      <c r="D5438" t="inlineStr">
        <is>
          <t>VÄSTRA GÖTALANDS LÄN</t>
        </is>
      </c>
      <c r="E5438" t="inlineStr">
        <is>
          <t>MARIESTAD</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29300-2025</t>
        </is>
      </c>
      <c r="B5439" s="1" t="n">
        <v>45824.45552083333</v>
      </c>
      <c r="C5439" s="1" t="n">
        <v>46011</v>
      </c>
      <c r="D5439" t="inlineStr">
        <is>
          <t>VÄSTRA GÖTALANDS LÄN</t>
        </is>
      </c>
      <c r="E5439" t="inlineStr">
        <is>
          <t>STRÖMSTAD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57523-2022</t>
        </is>
      </c>
      <c r="B5440" s="1" t="n">
        <v>44896</v>
      </c>
      <c r="C5440" s="1" t="n">
        <v>46011</v>
      </c>
      <c r="D5440" t="inlineStr">
        <is>
          <t>VÄSTRA GÖTALANDS LÄN</t>
        </is>
      </c>
      <c r="E5440" t="inlineStr">
        <is>
          <t>MARK</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29209-2025</t>
        </is>
      </c>
      <c r="B5441" s="1" t="n">
        <v>45823.90710648148</v>
      </c>
      <c r="C5441" s="1" t="n">
        <v>46011</v>
      </c>
      <c r="D5441" t="inlineStr">
        <is>
          <t>VÄSTRA GÖTALANDS LÄN</t>
        </is>
      </c>
      <c r="E5441" t="inlineStr">
        <is>
          <t>BORÅS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16867-2023</t>
        </is>
      </c>
      <c r="B5442" s="1" t="n">
        <v>45033</v>
      </c>
      <c r="C5442" s="1" t="n">
        <v>46011</v>
      </c>
      <c r="D5442" t="inlineStr">
        <is>
          <t>VÄSTRA GÖTALANDS LÄN</t>
        </is>
      </c>
      <c r="E5442" t="inlineStr">
        <is>
          <t>MARIESTAD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18257-2023</t>
        </is>
      </c>
      <c r="B5443" s="1" t="n">
        <v>45041</v>
      </c>
      <c r="C5443" s="1" t="n">
        <v>46011</v>
      </c>
      <c r="D5443" t="inlineStr">
        <is>
          <t>VÄSTRA GÖTALANDS LÄN</t>
        </is>
      </c>
      <c r="E5443" t="inlineStr">
        <is>
          <t>TIDAHOLM</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13076-2023</t>
        </is>
      </c>
      <c r="B5444" s="1" t="n">
        <v>45002</v>
      </c>
      <c r="C5444" s="1" t="n">
        <v>46011</v>
      </c>
      <c r="D5444" t="inlineStr">
        <is>
          <t>VÄSTRA GÖTALANDS LÄN</t>
        </is>
      </c>
      <c r="E5444" t="inlineStr">
        <is>
          <t>KARLSBORG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29394-2025</t>
        </is>
      </c>
      <c r="B5445" s="1" t="n">
        <v>45824.60599537037</v>
      </c>
      <c r="C5445" s="1" t="n">
        <v>46011</v>
      </c>
      <c r="D5445" t="inlineStr">
        <is>
          <t>VÄSTRA GÖTALANDS LÄN</t>
        </is>
      </c>
      <c r="E5445" t="inlineStr">
        <is>
          <t>LERUM</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41853-2025</t>
        </is>
      </c>
      <c r="B5446" s="1" t="n">
        <v>45902.90766203704</v>
      </c>
      <c r="C5446" s="1" t="n">
        <v>46011</v>
      </c>
      <c r="D5446" t="inlineStr">
        <is>
          <t>VÄSTRA GÖTALANDS LÄN</t>
        </is>
      </c>
      <c r="E5446" t="inlineStr">
        <is>
          <t>DALS-ED</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41937-2025</t>
        </is>
      </c>
      <c r="B5447" s="1" t="n">
        <v>45903.4413425926</v>
      </c>
      <c r="C5447" s="1" t="n">
        <v>46011</v>
      </c>
      <c r="D5447" t="inlineStr">
        <is>
          <t>VÄSTRA GÖTALANDS LÄN</t>
        </is>
      </c>
      <c r="E5447" t="inlineStr">
        <is>
          <t>LIDKÖPING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41970-2025</t>
        </is>
      </c>
      <c r="B5448" s="1" t="n">
        <v>45903.4885300926</v>
      </c>
      <c r="C5448" s="1" t="n">
        <v>46011</v>
      </c>
      <c r="D5448" t="inlineStr">
        <is>
          <t>VÄSTRA GÖTALANDS LÄN</t>
        </is>
      </c>
      <c r="E5448" t="inlineStr">
        <is>
          <t>MARIESTAD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43741-2024</t>
        </is>
      </c>
      <c r="B5449" s="1" t="n">
        <v>45569.65767361111</v>
      </c>
      <c r="C5449" s="1" t="n">
        <v>46011</v>
      </c>
      <c r="D5449" t="inlineStr">
        <is>
          <t>VÄSTRA GÖTALANDS LÄN</t>
        </is>
      </c>
      <c r="E5449" t="inlineStr">
        <is>
          <t>ALINGSÅS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29470-2025</t>
        </is>
      </c>
      <c r="B5450" s="1" t="n">
        <v>45824.69983796297</v>
      </c>
      <c r="C5450" s="1" t="n">
        <v>46011</v>
      </c>
      <c r="D5450" t="inlineStr">
        <is>
          <t>VÄSTRA GÖTALANDS LÄN</t>
        </is>
      </c>
      <c r="E5450" t="inlineStr">
        <is>
          <t>BENGTSFORS</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43750-2024</t>
        </is>
      </c>
      <c r="B5451" s="1" t="n">
        <v>45569.67313657407</v>
      </c>
      <c r="C5451" s="1" t="n">
        <v>46011</v>
      </c>
      <c r="D5451" t="inlineStr">
        <is>
          <t>VÄSTRA GÖTALANDS LÄN</t>
        </is>
      </c>
      <c r="E5451" t="inlineStr">
        <is>
          <t>MARK</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29109-2025</t>
        </is>
      </c>
      <c r="B5452" s="1" t="n">
        <v>45821.58231481481</v>
      </c>
      <c r="C5452" s="1" t="n">
        <v>46011</v>
      </c>
      <c r="D5452" t="inlineStr">
        <is>
          <t>VÄSTRA GÖTALANDS LÄN</t>
        </is>
      </c>
      <c r="E5452" t="inlineStr">
        <is>
          <t>BORÅS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29111-2025</t>
        </is>
      </c>
      <c r="B5453" s="1" t="n">
        <v>45821.58418981481</v>
      </c>
      <c r="C5453" s="1" t="n">
        <v>46011</v>
      </c>
      <c r="D5453" t="inlineStr">
        <is>
          <t>VÄSTRA GÖTALANDS LÄN</t>
        </is>
      </c>
      <c r="E5453" t="inlineStr">
        <is>
          <t>BORÅS</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42252-2025</t>
        </is>
      </c>
      <c r="B5454" s="1" t="n">
        <v>45904.58616898148</v>
      </c>
      <c r="C5454" s="1" t="n">
        <v>46011</v>
      </c>
      <c r="D5454" t="inlineStr">
        <is>
          <t>VÄSTRA GÖTALANDS LÄN</t>
        </is>
      </c>
      <c r="E5454" t="inlineStr">
        <is>
          <t>MUNKEDAL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42257-2025</t>
        </is>
      </c>
      <c r="B5455" s="1" t="n">
        <v>45904.59019675926</v>
      </c>
      <c r="C5455" s="1" t="n">
        <v>46011</v>
      </c>
      <c r="D5455" t="inlineStr">
        <is>
          <t>VÄSTRA GÖTALANDS LÄN</t>
        </is>
      </c>
      <c r="E5455" t="inlineStr">
        <is>
          <t>FÄRGELANDA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49429-2021</t>
        </is>
      </c>
      <c r="B5456" s="1" t="n">
        <v>44454</v>
      </c>
      <c r="C5456" s="1" t="n">
        <v>46011</v>
      </c>
      <c r="D5456" t="inlineStr">
        <is>
          <t>VÄSTRA GÖTALANDS LÄN</t>
        </is>
      </c>
      <c r="E5456" t="inlineStr">
        <is>
          <t>FALKÖPING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29485-2025</t>
        </is>
      </c>
      <c r="B5457" s="1" t="n">
        <v>45824.74728009259</v>
      </c>
      <c r="C5457" s="1" t="n">
        <v>46011</v>
      </c>
      <c r="D5457" t="inlineStr">
        <is>
          <t>VÄSTRA GÖTALANDS LÄN</t>
        </is>
      </c>
      <c r="E5457" t="inlineStr">
        <is>
          <t>KARLSBORG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29488-2025</t>
        </is>
      </c>
      <c r="B5458" s="1" t="n">
        <v>45824</v>
      </c>
      <c r="C5458" s="1" t="n">
        <v>46011</v>
      </c>
      <c r="D5458" t="inlineStr">
        <is>
          <t>VÄSTRA GÖTALANDS LÄN</t>
        </is>
      </c>
      <c r="E5458" t="inlineStr">
        <is>
          <t>KARLSBORG</t>
        </is>
      </c>
      <c r="F5458" t="inlineStr">
        <is>
          <t>Övriga Aktiebolag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10837-2024</t>
        </is>
      </c>
      <c r="B5459" s="1" t="n">
        <v>45369.79299768519</v>
      </c>
      <c r="C5459" s="1" t="n">
        <v>46011</v>
      </c>
      <c r="D5459" t="inlineStr">
        <is>
          <t>VÄSTRA GÖTALANDS LÄN</t>
        </is>
      </c>
      <c r="E5459" t="inlineStr">
        <is>
          <t>ÅMÅL</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10902-2024</t>
        </is>
      </c>
      <c r="B5460" s="1" t="n">
        <v>45370.37342592593</v>
      </c>
      <c r="C5460" s="1" t="n">
        <v>46011</v>
      </c>
      <c r="D5460" t="inlineStr">
        <is>
          <t>VÄSTRA GÖTALANDS LÄN</t>
        </is>
      </c>
      <c r="E5460" t="inlineStr">
        <is>
          <t>MARK</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29177-2025</t>
        </is>
      </c>
      <c r="B5461" s="1" t="n">
        <v>45821</v>
      </c>
      <c r="C5461" s="1" t="n">
        <v>46011</v>
      </c>
      <c r="D5461" t="inlineStr">
        <is>
          <t>VÄSTRA GÖTALANDS LÄN</t>
        </is>
      </c>
      <c r="E5461" t="inlineStr">
        <is>
          <t>GULLSPÅNG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29182-2025</t>
        </is>
      </c>
      <c r="B5462" s="1" t="n">
        <v>45821.745625</v>
      </c>
      <c r="C5462" s="1" t="n">
        <v>46011</v>
      </c>
      <c r="D5462" t="inlineStr">
        <is>
          <t>VÄSTRA GÖTALANDS LÄN</t>
        </is>
      </c>
      <c r="E5462" t="inlineStr">
        <is>
          <t>TIDAHOLM</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54804-2022</t>
        </is>
      </c>
      <c r="B5463" s="1" t="n">
        <v>44883</v>
      </c>
      <c r="C5463" s="1" t="n">
        <v>46011</v>
      </c>
      <c r="D5463" t="inlineStr">
        <is>
          <t>VÄSTRA GÖTALANDS LÄN</t>
        </is>
      </c>
      <c r="E5463" t="inlineStr">
        <is>
          <t>LILLA EDET</t>
        </is>
      </c>
      <c r="G5463" t="n">
        <v>22.6</v>
      </c>
      <c r="H5463" t="n">
        <v>0</v>
      </c>
      <c r="I5463" t="n">
        <v>0</v>
      </c>
      <c r="J5463" t="n">
        <v>0</v>
      </c>
      <c r="K5463" t="n">
        <v>0</v>
      </c>
      <c r="L5463" t="n">
        <v>0</v>
      </c>
      <c r="M5463" t="n">
        <v>0</v>
      </c>
      <c r="N5463" t="n">
        <v>0</v>
      </c>
      <c r="O5463" t="n">
        <v>0</v>
      </c>
      <c r="P5463" t="n">
        <v>0</v>
      </c>
      <c r="Q5463" t="n">
        <v>0</v>
      </c>
      <c r="R5463" s="2" t="inlineStr"/>
    </row>
    <row r="5464" ht="15" customHeight="1">
      <c r="A5464" t="inlineStr">
        <is>
          <t>A 6625-2021</t>
        </is>
      </c>
      <c r="B5464" s="1" t="n">
        <v>44236</v>
      </c>
      <c r="C5464" s="1" t="n">
        <v>46011</v>
      </c>
      <c r="D5464" t="inlineStr">
        <is>
          <t>VÄSTRA GÖTALANDS LÄN</t>
        </is>
      </c>
      <c r="E5464" t="inlineStr">
        <is>
          <t>HERRLJUNGA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29019-2025</t>
        </is>
      </c>
      <c r="B5465" s="1" t="n">
        <v>45821.42359953704</v>
      </c>
      <c r="C5465" s="1" t="n">
        <v>46011</v>
      </c>
      <c r="D5465" t="inlineStr">
        <is>
          <t>VÄSTRA GÖTALANDS LÄN</t>
        </is>
      </c>
      <c r="E5465" t="inlineStr">
        <is>
          <t>HJO</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29023-2025</t>
        </is>
      </c>
      <c r="B5466" s="1" t="n">
        <v>45821.43002314815</v>
      </c>
      <c r="C5466" s="1" t="n">
        <v>46011</v>
      </c>
      <c r="D5466" t="inlineStr">
        <is>
          <t>VÄSTRA GÖTALANDS LÄN</t>
        </is>
      </c>
      <c r="E5466" t="inlineStr">
        <is>
          <t>SKÖVDE</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35422-2025</t>
        </is>
      </c>
      <c r="B5467" s="1" t="n">
        <v>45855.41179398148</v>
      </c>
      <c r="C5467" s="1" t="n">
        <v>46011</v>
      </c>
      <c r="D5467" t="inlineStr">
        <is>
          <t>VÄSTRA GÖTALANDS LÄN</t>
        </is>
      </c>
      <c r="E5467" t="inlineStr">
        <is>
          <t>LILLA EDET</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3647-2023</t>
        </is>
      </c>
      <c r="B5468" s="1" t="n">
        <v>44950</v>
      </c>
      <c r="C5468" s="1" t="n">
        <v>46011</v>
      </c>
      <c r="D5468" t="inlineStr">
        <is>
          <t>VÄSTRA GÖTALANDS LÄN</t>
        </is>
      </c>
      <c r="E5468" t="inlineStr">
        <is>
          <t>SVENLJUNGA</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2220-2023</t>
        </is>
      </c>
      <c r="B5469" s="1" t="n">
        <v>44942.42326388889</v>
      </c>
      <c r="C5469" s="1" t="n">
        <v>46011</v>
      </c>
      <c r="D5469" t="inlineStr">
        <is>
          <t>VÄSTRA GÖTALANDS LÄN</t>
        </is>
      </c>
      <c r="E5469" t="inlineStr">
        <is>
          <t>SVENLJUNGA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3653-2023</t>
        </is>
      </c>
      <c r="B5470" s="1" t="n">
        <v>44950</v>
      </c>
      <c r="C5470" s="1" t="n">
        <v>46011</v>
      </c>
      <c r="D5470" t="inlineStr">
        <is>
          <t>VÄSTRA GÖTALANDS LÄN</t>
        </is>
      </c>
      <c r="E5470" t="inlineStr">
        <is>
          <t>MARK</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29308-2025</t>
        </is>
      </c>
      <c r="B5471" s="1" t="n">
        <v>45824.46103009259</v>
      </c>
      <c r="C5471" s="1" t="n">
        <v>46011</v>
      </c>
      <c r="D5471" t="inlineStr">
        <is>
          <t>VÄSTRA GÖTALANDS LÄN</t>
        </is>
      </c>
      <c r="E5471" t="inlineStr">
        <is>
          <t>STRÖMSTAD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29317-2025</t>
        </is>
      </c>
      <c r="B5472" s="1" t="n">
        <v>45824.47145833333</v>
      </c>
      <c r="C5472" s="1" t="n">
        <v>46011</v>
      </c>
      <c r="D5472" t="inlineStr">
        <is>
          <t>VÄSTRA GÖTALANDS LÄN</t>
        </is>
      </c>
      <c r="E5472" t="inlineStr">
        <is>
          <t>TANUM</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29306-2025</t>
        </is>
      </c>
      <c r="B5473" s="1" t="n">
        <v>45824.45997685185</v>
      </c>
      <c r="C5473" s="1" t="n">
        <v>46011</v>
      </c>
      <c r="D5473" t="inlineStr">
        <is>
          <t>VÄSTRA GÖTALANDS LÄN</t>
        </is>
      </c>
      <c r="E5473" t="inlineStr">
        <is>
          <t>BOLLEBYGD</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3655-2023</t>
        </is>
      </c>
      <c r="B5474" s="1" t="n">
        <v>44950</v>
      </c>
      <c r="C5474" s="1" t="n">
        <v>46011</v>
      </c>
      <c r="D5474" t="inlineStr">
        <is>
          <t>VÄSTRA GÖTALANDS LÄN</t>
        </is>
      </c>
      <c r="E5474" t="inlineStr">
        <is>
          <t>MARK</t>
        </is>
      </c>
      <c r="F5474" t="inlineStr">
        <is>
          <t>Sveaskog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3664-2023</t>
        </is>
      </c>
      <c r="B5475" s="1" t="n">
        <v>44950.83806712963</v>
      </c>
      <c r="C5475" s="1" t="n">
        <v>46011</v>
      </c>
      <c r="D5475" t="inlineStr">
        <is>
          <t>VÄSTRA GÖTALANDS LÄN</t>
        </is>
      </c>
      <c r="E5475" t="inlineStr">
        <is>
          <t>HERRLJUNGA</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57965-2022</t>
        </is>
      </c>
      <c r="B5476" s="1" t="n">
        <v>44900.43638888889</v>
      </c>
      <c r="C5476" s="1" t="n">
        <v>46011</v>
      </c>
      <c r="D5476" t="inlineStr">
        <is>
          <t>VÄSTRA GÖTALANDS LÄN</t>
        </is>
      </c>
      <c r="E5476" t="inlineStr">
        <is>
          <t>TIDAHOLM</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18201-2023</t>
        </is>
      </c>
      <c r="B5477" s="1" t="n">
        <v>45041</v>
      </c>
      <c r="C5477" s="1" t="n">
        <v>46011</v>
      </c>
      <c r="D5477" t="inlineStr">
        <is>
          <t>VÄSTRA GÖTALANDS LÄN</t>
        </is>
      </c>
      <c r="E5477" t="inlineStr">
        <is>
          <t>ULRICEHAMN</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16420-2023</t>
        </is>
      </c>
      <c r="B5478" s="1" t="n">
        <v>45029.43625</v>
      </c>
      <c r="C5478" s="1" t="n">
        <v>46011</v>
      </c>
      <c r="D5478" t="inlineStr">
        <is>
          <t>VÄSTRA GÖTALANDS LÄN</t>
        </is>
      </c>
      <c r="E5478" t="inlineStr">
        <is>
          <t>MUNKEDAL</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61010-2023</t>
        </is>
      </c>
      <c r="B5479" s="1" t="n">
        <v>45261.53189814815</v>
      </c>
      <c r="C5479" s="1" t="n">
        <v>46011</v>
      </c>
      <c r="D5479" t="inlineStr">
        <is>
          <t>VÄSTRA GÖTALANDS LÄN</t>
        </is>
      </c>
      <c r="E5479" t="inlineStr">
        <is>
          <t>MARK</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42566-2025</t>
        </is>
      </c>
      <c r="B5480" s="1" t="n">
        <v>45905.60494212963</v>
      </c>
      <c r="C5480" s="1" t="n">
        <v>46011</v>
      </c>
      <c r="D5480" t="inlineStr">
        <is>
          <t>VÄSTRA GÖTALANDS LÄN</t>
        </is>
      </c>
      <c r="E5480" t="inlineStr">
        <is>
          <t>VÄNERSBORG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29305-2025</t>
        </is>
      </c>
      <c r="B5481" s="1" t="n">
        <v>45824.45982638889</v>
      </c>
      <c r="C5481" s="1" t="n">
        <v>46011</v>
      </c>
      <c r="D5481" t="inlineStr">
        <is>
          <t>VÄSTRA GÖTALANDS LÄN</t>
        </is>
      </c>
      <c r="E5481" t="inlineStr">
        <is>
          <t>MUNKEDAL</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42587-2025</t>
        </is>
      </c>
      <c r="B5482" s="1" t="n">
        <v>45905</v>
      </c>
      <c r="C5482" s="1" t="n">
        <v>46011</v>
      </c>
      <c r="D5482" t="inlineStr">
        <is>
          <t>VÄSTRA GÖTALANDS LÄN</t>
        </is>
      </c>
      <c r="E5482" t="inlineStr">
        <is>
          <t>TÖREBODA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29819-2025</t>
        </is>
      </c>
      <c r="B5483" s="1" t="n">
        <v>45825.84666666666</v>
      </c>
      <c r="C5483" s="1" t="n">
        <v>46011</v>
      </c>
      <c r="D5483" t="inlineStr">
        <is>
          <t>VÄSTRA GÖTALANDS LÄN</t>
        </is>
      </c>
      <c r="E5483" t="inlineStr">
        <is>
          <t>TIBRO</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29840-2025</t>
        </is>
      </c>
      <c r="B5484" s="1" t="n">
        <v>45826.29282407407</v>
      </c>
      <c r="C5484" s="1" t="n">
        <v>46011</v>
      </c>
      <c r="D5484" t="inlineStr">
        <is>
          <t>VÄSTRA GÖTALANDS LÄN</t>
        </is>
      </c>
      <c r="E5484" t="inlineStr">
        <is>
          <t>VÄNERSBORG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29845-2025</t>
        </is>
      </c>
      <c r="B5485" s="1" t="n">
        <v>45826.32145833333</v>
      </c>
      <c r="C5485" s="1" t="n">
        <v>46011</v>
      </c>
      <c r="D5485" t="inlineStr">
        <is>
          <t>VÄSTRA GÖTALANDS LÄN</t>
        </is>
      </c>
      <c r="E5485" t="inlineStr">
        <is>
          <t>LIDKÖPING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42644-2025</t>
        </is>
      </c>
      <c r="B5486" s="1" t="n">
        <v>45906.38402777778</v>
      </c>
      <c r="C5486" s="1" t="n">
        <v>46011</v>
      </c>
      <c r="D5486" t="inlineStr">
        <is>
          <t>VÄSTRA GÖTALANDS LÄN</t>
        </is>
      </c>
      <c r="E5486" t="inlineStr">
        <is>
          <t>LIDKÖPING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42646-2025</t>
        </is>
      </c>
      <c r="B5487" s="1" t="n">
        <v>45906.48516203704</v>
      </c>
      <c r="C5487" s="1" t="n">
        <v>46011</v>
      </c>
      <c r="D5487" t="inlineStr">
        <is>
          <t>VÄSTRA GÖTALANDS LÄN</t>
        </is>
      </c>
      <c r="E5487" t="inlineStr">
        <is>
          <t>VÅRGÅRDA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57305-2024</t>
        </is>
      </c>
      <c r="B5488" s="1" t="n">
        <v>45629.60421296296</v>
      </c>
      <c r="C5488" s="1" t="n">
        <v>46011</v>
      </c>
      <c r="D5488" t="inlineStr">
        <is>
          <t>VÄSTRA GÖTALANDS LÄN</t>
        </is>
      </c>
      <c r="E5488" t="inlineStr">
        <is>
          <t>ÅMÅL</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42471-2025</t>
        </is>
      </c>
      <c r="B5489" s="1" t="n">
        <v>45905.46486111111</v>
      </c>
      <c r="C5489" s="1" t="n">
        <v>46011</v>
      </c>
      <c r="D5489" t="inlineStr">
        <is>
          <t>VÄSTRA GÖTALANDS LÄN</t>
        </is>
      </c>
      <c r="E5489" t="inlineStr">
        <is>
          <t>LYSEKIL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29991-2025</t>
        </is>
      </c>
      <c r="B5490" s="1" t="n">
        <v>45826.50349537037</v>
      </c>
      <c r="C5490" s="1" t="n">
        <v>46011</v>
      </c>
      <c r="D5490" t="inlineStr">
        <is>
          <t>VÄSTRA GÖTALANDS LÄN</t>
        </is>
      </c>
      <c r="E5490" t="inlineStr">
        <is>
          <t>MARK</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45487-2024</t>
        </is>
      </c>
      <c r="B5491" s="1" t="n">
        <v>45577.38703703704</v>
      </c>
      <c r="C5491" s="1" t="n">
        <v>46011</v>
      </c>
      <c r="D5491" t="inlineStr">
        <is>
          <t>VÄSTRA GÖTALANDS LÄN</t>
        </is>
      </c>
      <c r="E5491" t="inlineStr">
        <is>
          <t>BORÅS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30121-2025</t>
        </is>
      </c>
      <c r="B5492" s="1" t="n">
        <v>45826.73800925926</v>
      </c>
      <c r="C5492" s="1" t="n">
        <v>46011</v>
      </c>
      <c r="D5492" t="inlineStr">
        <is>
          <t>VÄSTRA GÖTALANDS LÄN</t>
        </is>
      </c>
      <c r="E5492" t="inlineStr">
        <is>
          <t>SVENLJUNGA</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4941-2023</t>
        </is>
      </c>
      <c r="B5493" s="1" t="n">
        <v>44958.433125</v>
      </c>
      <c r="C5493" s="1" t="n">
        <v>46011</v>
      </c>
      <c r="D5493" t="inlineStr">
        <is>
          <t>VÄSTRA GÖTALANDS LÄN</t>
        </is>
      </c>
      <c r="E5493" t="inlineStr">
        <is>
          <t>TÖREBODA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42723-2025</t>
        </is>
      </c>
      <c r="B5494" s="1" t="n">
        <v>45908.40037037037</v>
      </c>
      <c r="C5494" s="1" t="n">
        <v>46011</v>
      </c>
      <c r="D5494" t="inlineStr">
        <is>
          <t>VÄSTRA GÖTALANDS LÄN</t>
        </is>
      </c>
      <c r="E5494" t="inlineStr">
        <is>
          <t>MELLERUD</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42736-2025</t>
        </is>
      </c>
      <c r="B5495" s="1" t="n">
        <v>45908</v>
      </c>
      <c r="C5495" s="1" t="n">
        <v>46011</v>
      </c>
      <c r="D5495" t="inlineStr">
        <is>
          <t>VÄSTRA GÖTALANDS LÄN</t>
        </is>
      </c>
      <c r="E5495" t="inlineStr">
        <is>
          <t>STRÖMSTAD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29837-2025</t>
        </is>
      </c>
      <c r="B5496" s="1" t="n">
        <v>45826.27395833333</v>
      </c>
      <c r="C5496" s="1" t="n">
        <v>46011</v>
      </c>
      <c r="D5496" t="inlineStr">
        <is>
          <t>VÄSTRA GÖTALANDS LÄN</t>
        </is>
      </c>
      <c r="E5496" t="inlineStr">
        <is>
          <t>ALINGSÅS</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42757-2025</t>
        </is>
      </c>
      <c r="B5497" s="1" t="n">
        <v>45908.45122685185</v>
      </c>
      <c r="C5497" s="1" t="n">
        <v>46011</v>
      </c>
      <c r="D5497" t="inlineStr">
        <is>
          <t>VÄSTRA GÖTALANDS LÄN</t>
        </is>
      </c>
      <c r="E5497" t="inlineStr">
        <is>
          <t>KARLSBORG</t>
        </is>
      </c>
      <c r="F5497" t="inlineStr">
        <is>
          <t>Kyrkan</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45395-2023</t>
        </is>
      </c>
      <c r="B5498" s="1" t="n">
        <v>45194</v>
      </c>
      <c r="C5498" s="1" t="n">
        <v>46011</v>
      </c>
      <c r="D5498" t="inlineStr">
        <is>
          <t>VÄSTRA GÖTALANDS LÄN</t>
        </is>
      </c>
      <c r="E5498" t="inlineStr">
        <is>
          <t>SVENLJUNGA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45400-2023</t>
        </is>
      </c>
      <c r="B5499" s="1" t="n">
        <v>45194</v>
      </c>
      <c r="C5499" s="1" t="n">
        <v>46011</v>
      </c>
      <c r="D5499" t="inlineStr">
        <is>
          <t>VÄSTRA GÖTALANDS LÄN</t>
        </is>
      </c>
      <c r="E5499" t="inlineStr">
        <is>
          <t>SVENLJUNGA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29555-2025</t>
        </is>
      </c>
      <c r="B5500" s="1" t="n">
        <v>45825.35525462963</v>
      </c>
      <c r="C5500" s="1" t="n">
        <v>46011</v>
      </c>
      <c r="D5500" t="inlineStr">
        <is>
          <t>VÄSTRA GÖTALANDS LÄN</t>
        </is>
      </c>
      <c r="E5500" t="inlineStr">
        <is>
          <t>TROLLHÄTTAN</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4765-2025</t>
        </is>
      </c>
      <c r="B5501" s="1" t="n">
        <v>45688.48753472222</v>
      </c>
      <c r="C5501" s="1" t="n">
        <v>46011</v>
      </c>
      <c r="D5501" t="inlineStr">
        <is>
          <t>VÄSTRA GÖTALANDS LÄN</t>
        </is>
      </c>
      <c r="E5501" t="inlineStr">
        <is>
          <t>BORÅS</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4812-2025</t>
        </is>
      </c>
      <c r="B5502" s="1" t="n">
        <v>45688.61510416667</v>
      </c>
      <c r="C5502" s="1" t="n">
        <v>46011</v>
      </c>
      <c r="D5502" t="inlineStr">
        <is>
          <t>VÄSTRA GÖTALANDS LÄN</t>
        </is>
      </c>
      <c r="E5502" t="inlineStr">
        <is>
          <t>VARA</t>
        </is>
      </c>
      <c r="F5502" t="inlineStr">
        <is>
          <t>Sveaskog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14468-2023</t>
        </is>
      </c>
      <c r="B5503" s="1" t="n">
        <v>45012.65208333333</v>
      </c>
      <c r="C5503" s="1" t="n">
        <v>46011</v>
      </c>
      <c r="D5503" t="inlineStr">
        <is>
          <t>VÄSTRA GÖTALANDS LÄN</t>
        </is>
      </c>
      <c r="E5503" t="inlineStr">
        <is>
          <t>HÄRRYDA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42791-2025</t>
        </is>
      </c>
      <c r="B5504" s="1" t="n">
        <v>45908.52364583333</v>
      </c>
      <c r="C5504" s="1" t="n">
        <v>46011</v>
      </c>
      <c r="D5504" t="inlineStr">
        <is>
          <t>VÄSTRA GÖTALANDS LÄN</t>
        </is>
      </c>
      <c r="E5504" t="inlineStr">
        <is>
          <t>STENUNGSUND</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4634-2025</t>
        </is>
      </c>
      <c r="B5505" s="1" t="n">
        <v>45687.645</v>
      </c>
      <c r="C5505" s="1" t="n">
        <v>46011</v>
      </c>
      <c r="D5505" t="inlineStr">
        <is>
          <t>VÄSTRA GÖTALANDS LÄN</t>
        </is>
      </c>
      <c r="E5505" t="inlineStr">
        <is>
          <t>TIDAHOLM</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40291-2024</t>
        </is>
      </c>
      <c r="B5506" s="1" t="n">
        <v>45554.68796296296</v>
      </c>
      <c r="C5506" s="1" t="n">
        <v>46011</v>
      </c>
      <c r="D5506" t="inlineStr">
        <is>
          <t>VÄSTRA GÖTALANDS LÄN</t>
        </is>
      </c>
      <c r="E5506" t="inlineStr">
        <is>
          <t>LIDKÖPING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30057-2025</t>
        </is>
      </c>
      <c r="B5507" s="1" t="n">
        <v>45826.60518518519</v>
      </c>
      <c r="C5507" s="1" t="n">
        <v>46011</v>
      </c>
      <c r="D5507" t="inlineStr">
        <is>
          <t>VÄSTRA GÖTALANDS LÄN</t>
        </is>
      </c>
      <c r="E5507" t="inlineStr">
        <is>
          <t>ULRICEHAMN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29979-2025</t>
        </is>
      </c>
      <c r="B5508" s="1" t="n">
        <v>45826</v>
      </c>
      <c r="C5508" s="1" t="n">
        <v>46011</v>
      </c>
      <c r="D5508" t="inlineStr">
        <is>
          <t>VÄSTRA GÖTALANDS LÄN</t>
        </is>
      </c>
      <c r="E5508" t="inlineStr">
        <is>
          <t>ÅMÅL</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42457-2025</t>
        </is>
      </c>
      <c r="B5509" s="1" t="n">
        <v>45905.45289351852</v>
      </c>
      <c r="C5509" s="1" t="n">
        <v>46011</v>
      </c>
      <c r="D5509" t="inlineStr">
        <is>
          <t>VÄSTRA GÖTALANDS LÄN</t>
        </is>
      </c>
      <c r="E5509" t="inlineStr">
        <is>
          <t>ORUST</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42464-2025</t>
        </is>
      </c>
      <c r="B5510" s="1" t="n">
        <v>45905</v>
      </c>
      <c r="C5510" s="1" t="n">
        <v>46011</v>
      </c>
      <c r="D5510" t="inlineStr">
        <is>
          <t>VÄSTRA GÖTALANDS LÄN</t>
        </is>
      </c>
      <c r="E5510" t="inlineStr">
        <is>
          <t>MARK</t>
        </is>
      </c>
      <c r="F5510" t="inlineStr">
        <is>
          <t>Sveaskog</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42522-2024</t>
        </is>
      </c>
      <c r="B5511" s="1" t="n">
        <v>45565.55225694444</v>
      </c>
      <c r="C5511" s="1" t="n">
        <v>46011</v>
      </c>
      <c r="D5511" t="inlineStr">
        <is>
          <t>VÄSTRA GÖTALANDS LÄN</t>
        </is>
      </c>
      <c r="E5511" t="inlineStr">
        <is>
          <t>HERRLJUNGA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30024-2025</t>
        </is>
      </c>
      <c r="B5512" s="1" t="n">
        <v>45826.56084490741</v>
      </c>
      <c r="C5512" s="1" t="n">
        <v>46011</v>
      </c>
      <c r="D5512" t="inlineStr">
        <is>
          <t>VÄSTRA GÖTALANDS LÄN</t>
        </is>
      </c>
      <c r="E5512" t="inlineStr">
        <is>
          <t>TRANEMO</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42809-2025</t>
        </is>
      </c>
      <c r="B5513" s="1" t="n">
        <v>45908.55498842592</v>
      </c>
      <c r="C5513" s="1" t="n">
        <v>46011</v>
      </c>
      <c r="D5513" t="inlineStr">
        <is>
          <t>VÄSTRA GÖTALANDS LÄN</t>
        </is>
      </c>
      <c r="E5513" t="inlineStr">
        <is>
          <t>MUNKEDAL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42811-2025</t>
        </is>
      </c>
      <c r="B5514" s="1" t="n">
        <v>45908.55878472222</v>
      </c>
      <c r="C5514" s="1" t="n">
        <v>46011</v>
      </c>
      <c r="D5514" t="inlineStr">
        <is>
          <t>VÄSTRA GÖTALANDS LÄN</t>
        </is>
      </c>
      <c r="E5514" t="inlineStr">
        <is>
          <t>MUNKEDAL</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42542-2024</t>
        </is>
      </c>
      <c r="B5515" s="1" t="n">
        <v>45565.58900462963</v>
      </c>
      <c r="C5515" s="1" t="n">
        <v>46011</v>
      </c>
      <c r="D5515" t="inlineStr">
        <is>
          <t>VÄSTRA GÖTALANDS LÄN</t>
        </is>
      </c>
      <c r="E5515" t="inlineStr">
        <is>
          <t>MARK</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32832-2024</t>
        </is>
      </c>
      <c r="B5516" s="1" t="n">
        <v>45516.60021990741</v>
      </c>
      <c r="C5516" s="1" t="n">
        <v>46011</v>
      </c>
      <c r="D5516" t="inlineStr">
        <is>
          <t>VÄSTRA GÖTALANDS LÄN</t>
        </is>
      </c>
      <c r="E5516" t="inlineStr">
        <is>
          <t>MELLERUD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30031-2025</t>
        </is>
      </c>
      <c r="B5517" s="1" t="n">
        <v>45826</v>
      </c>
      <c r="C5517" s="1" t="n">
        <v>46011</v>
      </c>
      <c r="D5517" t="inlineStr">
        <is>
          <t>VÄSTRA GÖTALANDS LÄN</t>
        </is>
      </c>
      <c r="E5517" t="inlineStr">
        <is>
          <t>MUNKEDAL</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30066-2025</t>
        </is>
      </c>
      <c r="B5518" s="1" t="n">
        <v>45826.62505787037</v>
      </c>
      <c r="C5518" s="1" t="n">
        <v>46011</v>
      </c>
      <c r="D5518" t="inlineStr">
        <is>
          <t>VÄSTRA GÖTALANDS LÄN</t>
        </is>
      </c>
      <c r="E5518" t="inlineStr">
        <is>
          <t>BENGTSFORS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30069-2025</t>
        </is>
      </c>
      <c r="B5519" s="1" t="n">
        <v>45826.6315625</v>
      </c>
      <c r="C5519" s="1" t="n">
        <v>46011</v>
      </c>
      <c r="D5519" t="inlineStr">
        <is>
          <t>VÄSTRA GÖTALANDS LÄN</t>
        </is>
      </c>
      <c r="E5519" t="inlineStr">
        <is>
          <t>BENGTSFORS</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30122-2025</t>
        </is>
      </c>
      <c r="B5520" s="1" t="n">
        <v>45826</v>
      </c>
      <c r="C5520" s="1" t="n">
        <v>46011</v>
      </c>
      <c r="D5520" t="inlineStr">
        <is>
          <t>VÄSTRA GÖTALANDS LÄN</t>
        </is>
      </c>
      <c r="E5520" t="inlineStr">
        <is>
          <t>MARK</t>
        </is>
      </c>
      <c r="F5520" t="inlineStr">
        <is>
          <t>Sveaskog</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29890-2025</t>
        </is>
      </c>
      <c r="B5521" s="1" t="n">
        <v>45826.37506944445</v>
      </c>
      <c r="C5521" s="1" t="n">
        <v>46011</v>
      </c>
      <c r="D5521" t="inlineStr">
        <is>
          <t>VÄSTRA GÖTALANDS LÄN</t>
        </is>
      </c>
      <c r="E5521" t="inlineStr">
        <is>
          <t>UDDEVALLA</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30011-2025</t>
        </is>
      </c>
      <c r="B5522" s="1" t="n">
        <v>45826.54273148148</v>
      </c>
      <c r="C5522" s="1" t="n">
        <v>46011</v>
      </c>
      <c r="D5522" t="inlineStr">
        <is>
          <t>VÄSTRA GÖTALANDS LÄN</t>
        </is>
      </c>
      <c r="E5522" t="inlineStr">
        <is>
          <t>MUNKEDAL</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46762-2023</t>
        </is>
      </c>
      <c r="B5523" s="1" t="n">
        <v>45198</v>
      </c>
      <c r="C5523" s="1" t="n">
        <v>46011</v>
      </c>
      <c r="D5523" t="inlineStr">
        <is>
          <t>VÄSTRA GÖTALANDS LÄN</t>
        </is>
      </c>
      <c r="E5523" t="inlineStr">
        <is>
          <t>HJO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29911-2025</t>
        </is>
      </c>
      <c r="B5524" s="1" t="n">
        <v>45826.4077662037</v>
      </c>
      <c r="C5524" s="1" t="n">
        <v>46011</v>
      </c>
      <c r="D5524" t="inlineStr">
        <is>
          <t>VÄSTRA GÖTALANDS LÄN</t>
        </is>
      </c>
      <c r="E5524" t="inlineStr">
        <is>
          <t>BORÅS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30023-2025</t>
        </is>
      </c>
      <c r="B5525" s="1" t="n">
        <v>45826.5583912037</v>
      </c>
      <c r="C5525" s="1" t="n">
        <v>46011</v>
      </c>
      <c r="D5525" t="inlineStr">
        <is>
          <t>VÄSTRA GÖTALANDS LÄN</t>
        </is>
      </c>
      <c r="E5525" t="inlineStr">
        <is>
          <t>TRANEMO</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42658-2025</t>
        </is>
      </c>
      <c r="B5526" s="1" t="n">
        <v>45907.52702546296</v>
      </c>
      <c r="C5526" s="1" t="n">
        <v>46011</v>
      </c>
      <c r="D5526" t="inlineStr">
        <is>
          <t>VÄSTRA GÖTALANDS LÄN</t>
        </is>
      </c>
      <c r="E5526" t="inlineStr">
        <is>
          <t>UDDEVALLA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35438-2024</t>
        </is>
      </c>
      <c r="B5527" s="1" t="n">
        <v>45531</v>
      </c>
      <c r="C5527" s="1" t="n">
        <v>46011</v>
      </c>
      <c r="D5527" t="inlineStr">
        <is>
          <t>VÄSTRA GÖTALANDS LÄN</t>
        </is>
      </c>
      <c r="E5527" t="inlineStr">
        <is>
          <t>TÖREBODA</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35441-2024</t>
        </is>
      </c>
      <c r="B5528" s="1" t="n">
        <v>45531.4332175926</v>
      </c>
      <c r="C5528" s="1" t="n">
        <v>46011</v>
      </c>
      <c r="D5528" t="inlineStr">
        <is>
          <t>VÄSTRA GÖTALANDS LÄN</t>
        </is>
      </c>
      <c r="E5528" t="inlineStr">
        <is>
          <t>KARLSBORG</t>
        </is>
      </c>
      <c r="F5528" t="inlineStr">
        <is>
          <t>Sveaskog</t>
        </is>
      </c>
      <c r="G5528" t="n">
        <v>9.800000000000001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35443-2024</t>
        </is>
      </c>
      <c r="B5529" s="1" t="n">
        <v>45531.43494212963</v>
      </c>
      <c r="C5529" s="1" t="n">
        <v>46011</v>
      </c>
      <c r="D5529" t="inlineStr">
        <is>
          <t>VÄSTRA GÖTALANDS LÄN</t>
        </is>
      </c>
      <c r="E5529" t="inlineStr">
        <is>
          <t>KARLSBORG</t>
        </is>
      </c>
      <c r="F5529" t="inlineStr">
        <is>
          <t>Sveaskog</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42823-2025</t>
        </is>
      </c>
      <c r="B5530" s="1" t="n">
        <v>45908.57429398148</v>
      </c>
      <c r="C5530" s="1" t="n">
        <v>46011</v>
      </c>
      <c r="D5530" t="inlineStr">
        <is>
          <t>VÄSTRA GÖTALANDS LÄN</t>
        </is>
      </c>
      <c r="E5530" t="inlineStr">
        <is>
          <t>STRÖMSTAD</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43561-2024</t>
        </is>
      </c>
      <c r="B5531" s="1" t="n">
        <v>45569.39880787037</v>
      </c>
      <c r="C5531" s="1" t="n">
        <v>46011</v>
      </c>
      <c r="D5531" t="inlineStr">
        <is>
          <t>VÄSTRA GÖTALANDS LÄN</t>
        </is>
      </c>
      <c r="E5531" t="inlineStr">
        <is>
          <t>TÖREBODA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29960-2025</t>
        </is>
      </c>
      <c r="B5532" s="1" t="n">
        <v>45826.4806712963</v>
      </c>
      <c r="C5532" s="1" t="n">
        <v>46011</v>
      </c>
      <c r="D5532" t="inlineStr">
        <is>
          <t>VÄSTRA GÖTALANDS LÄN</t>
        </is>
      </c>
      <c r="E5532" t="inlineStr">
        <is>
          <t>HJO</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42857-2025</t>
        </is>
      </c>
      <c r="B5533" s="1" t="n">
        <v>45908.6132175926</v>
      </c>
      <c r="C5533" s="1" t="n">
        <v>46011</v>
      </c>
      <c r="D5533" t="inlineStr">
        <is>
          <t>VÄSTRA GÖTALANDS LÄN</t>
        </is>
      </c>
      <c r="E5533" t="inlineStr">
        <is>
          <t>LILLA EDET</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42611-2025</t>
        </is>
      </c>
      <c r="B5534" s="1" t="n">
        <v>45905.69912037037</v>
      </c>
      <c r="C5534" s="1" t="n">
        <v>46011</v>
      </c>
      <c r="D5534" t="inlineStr">
        <is>
          <t>VÄSTRA GÖTALANDS LÄN</t>
        </is>
      </c>
      <c r="E5534" t="inlineStr">
        <is>
          <t>SVENLJUNGA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56054-2023</t>
        </is>
      </c>
      <c r="B5535" s="1" t="n">
        <v>45240</v>
      </c>
      <c r="C5535" s="1" t="n">
        <v>46011</v>
      </c>
      <c r="D5535" t="inlineStr">
        <is>
          <t>VÄSTRA GÖTALANDS LÄN</t>
        </is>
      </c>
      <c r="E5535" t="inlineStr">
        <is>
          <t>MARIESTAD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28044-2023</t>
        </is>
      </c>
      <c r="B5536" s="1" t="n">
        <v>45099.32682870371</v>
      </c>
      <c r="C5536" s="1" t="n">
        <v>46011</v>
      </c>
      <c r="D5536" t="inlineStr">
        <is>
          <t>VÄSTRA GÖTALANDS LÄN</t>
        </is>
      </c>
      <c r="E5536" t="inlineStr">
        <is>
          <t>TÖREBODA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62381-2023</t>
        </is>
      </c>
      <c r="B5537" s="1" t="n">
        <v>45266</v>
      </c>
      <c r="C5537" s="1" t="n">
        <v>46011</v>
      </c>
      <c r="D5537" t="inlineStr">
        <is>
          <t>VÄSTRA GÖTALANDS LÄN</t>
        </is>
      </c>
      <c r="E5537" t="inlineStr">
        <is>
          <t>TROLLHÄTTAN</t>
        </is>
      </c>
      <c r="F5537" t="inlineStr">
        <is>
          <t>Kyrkan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30036-2025</t>
        </is>
      </c>
      <c r="B5538" s="1" t="n">
        <v>45826.57094907408</v>
      </c>
      <c r="C5538" s="1" t="n">
        <v>46011</v>
      </c>
      <c r="D5538" t="inlineStr">
        <is>
          <t>VÄSTRA GÖTALANDS LÄN</t>
        </is>
      </c>
      <c r="E5538" t="inlineStr">
        <is>
          <t>ULRICEHAMN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11124-2025</t>
        </is>
      </c>
      <c r="B5539" s="1" t="n">
        <v>45723.64142361111</v>
      </c>
      <c r="C5539" s="1" t="n">
        <v>46011</v>
      </c>
      <c r="D5539" t="inlineStr">
        <is>
          <t>VÄSTRA GÖTALANDS LÄN</t>
        </is>
      </c>
      <c r="E5539" t="inlineStr">
        <is>
          <t>LERUM</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33118-2023</t>
        </is>
      </c>
      <c r="B5540" s="1" t="n">
        <v>45126.59351851852</v>
      </c>
      <c r="C5540" s="1" t="n">
        <v>46011</v>
      </c>
      <c r="D5540" t="inlineStr">
        <is>
          <t>VÄSTRA GÖTALANDS LÄN</t>
        </is>
      </c>
      <c r="E5540" t="inlineStr">
        <is>
          <t>STRÖMSTAD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33131-2023</t>
        </is>
      </c>
      <c r="B5541" s="1" t="n">
        <v>45126</v>
      </c>
      <c r="C5541" s="1" t="n">
        <v>46011</v>
      </c>
      <c r="D5541" t="inlineStr">
        <is>
          <t>VÄSTRA GÖTALANDS LÄN</t>
        </is>
      </c>
      <c r="E5541" t="inlineStr">
        <is>
          <t>STRÖMSTAD</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49617-2023</t>
        </is>
      </c>
      <c r="B5542" s="1" t="n">
        <v>45211</v>
      </c>
      <c r="C5542" s="1" t="n">
        <v>46011</v>
      </c>
      <c r="D5542" t="inlineStr">
        <is>
          <t>VÄSTRA GÖTALANDS LÄN</t>
        </is>
      </c>
      <c r="E5542" t="inlineStr">
        <is>
          <t>ORUST</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31732-2025</t>
        </is>
      </c>
      <c r="B5543" s="1" t="n">
        <v>45834.47009259259</v>
      </c>
      <c r="C5543" s="1" t="n">
        <v>46011</v>
      </c>
      <c r="D5543" t="inlineStr">
        <is>
          <t>VÄSTRA GÖTALANDS LÄN</t>
        </is>
      </c>
      <c r="E5543" t="inlineStr">
        <is>
          <t>DALS-ED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49672-2023</t>
        </is>
      </c>
      <c r="B5544" s="1" t="n">
        <v>45212.28642361111</v>
      </c>
      <c r="C5544" s="1" t="n">
        <v>46011</v>
      </c>
      <c r="D5544" t="inlineStr">
        <is>
          <t>VÄSTRA GÖTALANDS LÄN</t>
        </is>
      </c>
      <c r="E5544" t="inlineStr">
        <is>
          <t>BORÅS</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7652-2025</t>
        </is>
      </c>
      <c r="B5545" s="1" t="n">
        <v>45705.90400462963</v>
      </c>
      <c r="C5545" s="1" t="n">
        <v>46011</v>
      </c>
      <c r="D5545" t="inlineStr">
        <is>
          <t>VÄSTRA GÖTALANDS LÄN</t>
        </is>
      </c>
      <c r="E5545" t="inlineStr">
        <is>
          <t>TRANEMO</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42425-2025</t>
        </is>
      </c>
      <c r="B5546" s="1" t="n">
        <v>45905.41342592592</v>
      </c>
      <c r="C5546" s="1" t="n">
        <v>46011</v>
      </c>
      <c r="D5546" t="inlineStr">
        <is>
          <t>VÄSTRA GÖTALANDS LÄN</t>
        </is>
      </c>
      <c r="E5546" t="inlineStr">
        <is>
          <t>BENGTSFORS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42473-2025</t>
        </is>
      </c>
      <c r="B5547" s="1" t="n">
        <v>45905.46538194444</v>
      </c>
      <c r="C5547" s="1" t="n">
        <v>46011</v>
      </c>
      <c r="D5547" t="inlineStr">
        <is>
          <t>VÄSTRA GÖTALANDS LÄN</t>
        </is>
      </c>
      <c r="E5547" t="inlineStr">
        <is>
          <t>TANUM</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49751-2023</t>
        </is>
      </c>
      <c r="B5548" s="1" t="n">
        <v>45212.52082175926</v>
      </c>
      <c r="C5548" s="1" t="n">
        <v>46011</v>
      </c>
      <c r="D5548" t="inlineStr">
        <is>
          <t>VÄSTRA GÖTALANDS LÄN</t>
        </is>
      </c>
      <c r="E5548" t="inlineStr">
        <is>
          <t>VÅRGÅRDA</t>
        </is>
      </c>
      <c r="G5548" t="n">
        <v>11.5</v>
      </c>
      <c r="H5548" t="n">
        <v>0</v>
      </c>
      <c r="I5548" t="n">
        <v>0</v>
      </c>
      <c r="J5548" t="n">
        <v>0</v>
      </c>
      <c r="K5548" t="n">
        <v>0</v>
      </c>
      <c r="L5548" t="n">
        <v>0</v>
      </c>
      <c r="M5548" t="n">
        <v>0</v>
      </c>
      <c r="N5548" t="n">
        <v>0</v>
      </c>
      <c r="O5548" t="n">
        <v>0</v>
      </c>
      <c r="P5548" t="n">
        <v>0</v>
      </c>
      <c r="Q5548" t="n">
        <v>0</v>
      </c>
      <c r="R5548" s="2" t="inlineStr"/>
    </row>
    <row r="5549" ht="15" customHeight="1">
      <c r="A5549" t="inlineStr">
        <is>
          <t>A 29581-2025</t>
        </is>
      </c>
      <c r="B5549" s="1" t="n">
        <v>45825.38179398148</v>
      </c>
      <c r="C5549" s="1" t="n">
        <v>46011</v>
      </c>
      <c r="D5549" t="inlineStr">
        <is>
          <t>VÄSTRA GÖTALANDS LÄN</t>
        </is>
      </c>
      <c r="E5549" t="inlineStr">
        <is>
          <t>TRANEMO</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29594-2025</t>
        </is>
      </c>
      <c r="B5550" s="1" t="n">
        <v>45825.40509259259</v>
      </c>
      <c r="C5550" s="1" t="n">
        <v>46011</v>
      </c>
      <c r="D5550" t="inlineStr">
        <is>
          <t>VÄSTRA GÖTALANDS LÄN</t>
        </is>
      </c>
      <c r="E5550" t="inlineStr">
        <is>
          <t>BENGTSFORS</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29486-2025</t>
        </is>
      </c>
      <c r="B5551" s="1" t="n">
        <v>45824.75438657407</v>
      </c>
      <c r="C5551" s="1" t="n">
        <v>46011</v>
      </c>
      <c r="D5551" t="inlineStr">
        <is>
          <t>VÄSTRA GÖTALANDS LÄN</t>
        </is>
      </c>
      <c r="E5551" t="inlineStr">
        <is>
          <t>KARLSBORG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42534-2025</t>
        </is>
      </c>
      <c r="B5552" s="1" t="n">
        <v>45905.56790509259</v>
      </c>
      <c r="C5552" s="1" t="n">
        <v>46011</v>
      </c>
      <c r="D5552" t="inlineStr">
        <is>
          <t>VÄSTRA GÖTALANDS LÄN</t>
        </is>
      </c>
      <c r="E5552" t="inlineStr">
        <is>
          <t>UDDEVALLA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18469-2025</t>
        </is>
      </c>
      <c r="B5553" s="1" t="n">
        <v>45762.74259259259</v>
      </c>
      <c r="C5553" s="1" t="n">
        <v>46011</v>
      </c>
      <c r="D5553" t="inlineStr">
        <is>
          <t>VÄSTRA GÖTALANDS LÄN</t>
        </is>
      </c>
      <c r="E5553" t="inlineStr">
        <is>
          <t>MUNKEDAL</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29813-2025</t>
        </is>
      </c>
      <c r="B5554" s="1" t="n">
        <v>45825.78273148148</v>
      </c>
      <c r="C5554" s="1" t="n">
        <v>46011</v>
      </c>
      <c r="D5554" t="inlineStr">
        <is>
          <t>VÄSTRA GÖTALANDS LÄN</t>
        </is>
      </c>
      <c r="E5554" t="inlineStr">
        <is>
          <t>GULLSPÅNG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40858-2021</t>
        </is>
      </c>
      <c r="B5555" s="1" t="n">
        <v>44421.43811342592</v>
      </c>
      <c r="C5555" s="1" t="n">
        <v>46011</v>
      </c>
      <c r="D5555" t="inlineStr">
        <is>
          <t>VÄSTRA GÖTALANDS LÄN</t>
        </is>
      </c>
      <c r="E5555" t="inlineStr">
        <is>
          <t>MARK</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46467-2023</t>
        </is>
      </c>
      <c r="B5556" s="1" t="n">
        <v>45197.62421296296</v>
      </c>
      <c r="C5556" s="1" t="n">
        <v>46011</v>
      </c>
      <c r="D5556" t="inlineStr">
        <is>
          <t>VÄSTRA GÖTALANDS LÄN</t>
        </is>
      </c>
      <c r="E5556" t="inlineStr">
        <is>
          <t>GRÄSTORP</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46480-2023</t>
        </is>
      </c>
      <c r="B5557" s="1" t="n">
        <v>45197.63927083334</v>
      </c>
      <c r="C5557" s="1" t="n">
        <v>46011</v>
      </c>
      <c r="D5557" t="inlineStr">
        <is>
          <t>VÄSTRA GÖTALANDS LÄN</t>
        </is>
      </c>
      <c r="E5557" t="inlineStr">
        <is>
          <t>UDDEVALLA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54130-2023</t>
        </is>
      </c>
      <c r="B5558" s="1" t="n">
        <v>45232</v>
      </c>
      <c r="C5558" s="1" t="n">
        <v>46011</v>
      </c>
      <c r="D5558" t="inlineStr">
        <is>
          <t>VÄSTRA GÖTALANDS LÄN</t>
        </is>
      </c>
      <c r="E5558" t="inlineStr">
        <is>
          <t>TIDAHOLM</t>
        </is>
      </c>
      <c r="F5558" t="inlineStr">
        <is>
          <t>Kyrkan</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29633-2025</t>
        </is>
      </c>
      <c r="B5559" s="1" t="n">
        <v>45825.45028935185</v>
      </c>
      <c r="C5559" s="1" t="n">
        <v>46011</v>
      </c>
      <c r="D5559" t="inlineStr">
        <is>
          <t>VÄSTRA GÖTALANDS LÄN</t>
        </is>
      </c>
      <c r="E5559" t="inlineStr">
        <is>
          <t>BENGTSFORS</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30054-2025</t>
        </is>
      </c>
      <c r="B5560" s="1" t="n">
        <v>45826.60033564815</v>
      </c>
      <c r="C5560" s="1" t="n">
        <v>46011</v>
      </c>
      <c r="D5560" t="inlineStr">
        <is>
          <t>VÄSTRA GÖTALANDS LÄN</t>
        </is>
      </c>
      <c r="E5560" t="inlineStr">
        <is>
          <t>ÅMÅL</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29529-2025</t>
        </is>
      </c>
      <c r="B5561" s="1" t="n">
        <v>45825.3437037037</v>
      </c>
      <c r="C5561" s="1" t="n">
        <v>46011</v>
      </c>
      <c r="D5561" t="inlineStr">
        <is>
          <t>VÄSTRA GÖTALANDS LÄN</t>
        </is>
      </c>
      <c r="E5561" t="inlineStr">
        <is>
          <t>MARK</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35479-2023</t>
        </is>
      </c>
      <c r="B5562" s="1" t="n">
        <v>45146</v>
      </c>
      <c r="C5562" s="1" t="n">
        <v>46011</v>
      </c>
      <c r="D5562" t="inlineStr">
        <is>
          <t>VÄSTRA GÖTALANDS LÄN</t>
        </is>
      </c>
      <c r="E5562" t="inlineStr">
        <is>
          <t>TIDAHOLM</t>
        </is>
      </c>
      <c r="G5562" t="n">
        <v>8.199999999999999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42781-2025</t>
        </is>
      </c>
      <c r="B5563" s="1" t="n">
        <v>45908.50071759259</v>
      </c>
      <c r="C5563" s="1" t="n">
        <v>46011</v>
      </c>
      <c r="D5563" t="inlineStr">
        <is>
          <t>VÄSTRA GÖTALANDS LÄN</t>
        </is>
      </c>
      <c r="E5563" t="inlineStr">
        <is>
          <t>DALS-ED</t>
        </is>
      </c>
      <c r="F5563" t="inlineStr">
        <is>
          <t>Kyrkan</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42440-2024</t>
        </is>
      </c>
      <c r="B5564" s="1" t="n">
        <v>45565.42386574074</v>
      </c>
      <c r="C5564" s="1" t="n">
        <v>46011</v>
      </c>
      <c r="D5564" t="inlineStr">
        <is>
          <t>VÄSTRA GÖTALANDS LÄN</t>
        </is>
      </c>
      <c r="E5564" t="inlineStr">
        <is>
          <t>DALS-ED</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42839-2025</t>
        </is>
      </c>
      <c r="B5565" s="1" t="n">
        <v>45908.5827662037</v>
      </c>
      <c r="C5565" s="1" t="n">
        <v>46011</v>
      </c>
      <c r="D5565" t="inlineStr">
        <is>
          <t>VÄSTRA GÖTALANDS LÄN</t>
        </is>
      </c>
      <c r="E5565" t="inlineStr">
        <is>
          <t>MARIESTAD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42848-2025</t>
        </is>
      </c>
      <c r="B5566" s="1" t="n">
        <v>45908.59571759259</v>
      </c>
      <c r="C5566" s="1" t="n">
        <v>46011</v>
      </c>
      <c r="D5566" t="inlineStr">
        <is>
          <t>VÄSTRA GÖTALANDS LÄN</t>
        </is>
      </c>
      <c r="E5566" t="inlineStr">
        <is>
          <t>MARK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30001-2025</t>
        </is>
      </c>
      <c r="B5567" s="1" t="n">
        <v>45826.52243055555</v>
      </c>
      <c r="C5567" s="1" t="n">
        <v>46011</v>
      </c>
      <c r="D5567" t="inlineStr">
        <is>
          <t>VÄSTRA GÖTALANDS LÄN</t>
        </is>
      </c>
      <c r="E5567" t="inlineStr">
        <is>
          <t>GULLSPÅNG</t>
        </is>
      </c>
      <c r="F5567" t="inlineStr">
        <is>
          <t>Kyrkan</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30008-2025</t>
        </is>
      </c>
      <c r="B5568" s="1" t="n">
        <v>45826.53549768519</v>
      </c>
      <c r="C5568" s="1" t="n">
        <v>46011</v>
      </c>
      <c r="D5568" t="inlineStr">
        <is>
          <t>VÄSTRA GÖTALANDS LÄN</t>
        </is>
      </c>
      <c r="E5568" t="inlineStr">
        <is>
          <t>MUNKEDAL</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29794-2025</t>
        </is>
      </c>
      <c r="B5569" s="1" t="n">
        <v>45825.66684027778</v>
      </c>
      <c r="C5569" s="1" t="n">
        <v>46011</v>
      </c>
      <c r="D5569" t="inlineStr">
        <is>
          <t>VÄSTRA GÖTALANDS LÄN</t>
        </is>
      </c>
      <c r="E5569" t="inlineStr">
        <is>
          <t>BOLLEBYGD</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29987-2025</t>
        </is>
      </c>
      <c r="B5570" s="1" t="n">
        <v>45826</v>
      </c>
      <c r="C5570" s="1" t="n">
        <v>46011</v>
      </c>
      <c r="D5570" t="inlineStr">
        <is>
          <t>VÄSTRA GÖTALANDS LÄN</t>
        </is>
      </c>
      <c r="E5570" t="inlineStr">
        <is>
          <t>ÅMÅL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496-2025</t>
        </is>
      </c>
      <c r="B5571" s="1" t="n">
        <v>45664.46601851852</v>
      </c>
      <c r="C5571" s="1" t="n">
        <v>46011</v>
      </c>
      <c r="D5571" t="inlineStr">
        <is>
          <t>VÄSTRA GÖTALANDS LÄN</t>
        </is>
      </c>
      <c r="E5571" t="inlineStr">
        <is>
          <t>MELLERUD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49932-2022</t>
        </is>
      </c>
      <c r="B5572" s="1" t="n">
        <v>44865</v>
      </c>
      <c r="C5572" s="1" t="n">
        <v>46011</v>
      </c>
      <c r="D5572" t="inlineStr">
        <is>
          <t>VÄSTRA GÖTALANDS LÄN</t>
        </is>
      </c>
      <c r="E5572" t="inlineStr">
        <is>
          <t>MARIESTAD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39656-2024</t>
        </is>
      </c>
      <c r="B5573" s="1" t="n">
        <v>45552.49091435185</v>
      </c>
      <c r="C5573" s="1" t="n">
        <v>46011</v>
      </c>
      <c r="D5573" t="inlineStr">
        <is>
          <t>VÄSTRA GÖTALANDS LÄN</t>
        </is>
      </c>
      <c r="E5573" t="inlineStr">
        <is>
          <t>TÖREBODA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42877-2025</t>
        </is>
      </c>
      <c r="B5574" s="1" t="n">
        <v>45908.63545138889</v>
      </c>
      <c r="C5574" s="1" t="n">
        <v>46011</v>
      </c>
      <c r="D5574" t="inlineStr">
        <is>
          <t>VÄSTRA GÖTALANDS LÄN</t>
        </is>
      </c>
      <c r="E5574" t="inlineStr">
        <is>
          <t>FALKÖPING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42580-2025</t>
        </is>
      </c>
      <c r="B5575" s="1" t="n">
        <v>45905.62414351852</v>
      </c>
      <c r="C5575" s="1" t="n">
        <v>46011</v>
      </c>
      <c r="D5575" t="inlineStr">
        <is>
          <t>VÄSTRA GÖTALANDS LÄN</t>
        </is>
      </c>
      <c r="E5575" t="inlineStr">
        <is>
          <t>ULRICEHAMN</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42672-2025</t>
        </is>
      </c>
      <c r="B5576" s="1" t="n">
        <v>45908.30107638889</v>
      </c>
      <c r="C5576" s="1" t="n">
        <v>46011</v>
      </c>
      <c r="D5576" t="inlineStr">
        <is>
          <t>VÄSTRA GÖTALANDS LÄN</t>
        </is>
      </c>
      <c r="E5576" t="inlineStr">
        <is>
          <t>ALINGSÅS</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42673-2025</t>
        </is>
      </c>
      <c r="B5577" s="1" t="n">
        <v>45908.3166087963</v>
      </c>
      <c r="C5577" s="1" t="n">
        <v>46011</v>
      </c>
      <c r="D5577" t="inlineStr">
        <is>
          <t>VÄSTRA GÖTALANDS LÄN</t>
        </is>
      </c>
      <c r="E5577" t="inlineStr">
        <is>
          <t>HERRLJUNGA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29585-2025</t>
        </is>
      </c>
      <c r="B5578" s="1" t="n">
        <v>45825.3859375</v>
      </c>
      <c r="C5578" s="1" t="n">
        <v>46011</v>
      </c>
      <c r="D5578" t="inlineStr">
        <is>
          <t>VÄSTRA GÖTALANDS LÄN</t>
        </is>
      </c>
      <c r="E5578" t="inlineStr">
        <is>
          <t>TRANEMO</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29619-2025</t>
        </is>
      </c>
      <c r="B5579" s="1" t="n">
        <v>45825.43653935185</v>
      </c>
      <c r="C5579" s="1" t="n">
        <v>46011</v>
      </c>
      <c r="D5579" t="inlineStr">
        <is>
          <t>VÄSTRA GÖTALANDS LÄN</t>
        </is>
      </c>
      <c r="E5579" t="inlineStr">
        <is>
          <t>SVENLJUNGA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31750-2025</t>
        </is>
      </c>
      <c r="B5580" s="1" t="n">
        <v>45834.48267361111</v>
      </c>
      <c r="C5580" s="1" t="n">
        <v>46011</v>
      </c>
      <c r="D5580" t="inlineStr">
        <is>
          <t>VÄSTRA GÖTALANDS LÄN</t>
        </is>
      </c>
      <c r="E5580" t="inlineStr">
        <is>
          <t>DALS-ED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51079-2024</t>
        </is>
      </c>
      <c r="B5581" s="1" t="n">
        <v>45603.45733796297</v>
      </c>
      <c r="C5581" s="1" t="n">
        <v>46011</v>
      </c>
      <c r="D5581" t="inlineStr">
        <is>
          <t>VÄSTRA GÖTALANDS LÄN</t>
        </is>
      </c>
      <c r="E5581" t="inlineStr">
        <is>
          <t>FÄRGELANDA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42655-2025</t>
        </is>
      </c>
      <c r="B5582" s="1" t="n">
        <v>45906.77978009259</v>
      </c>
      <c r="C5582" s="1" t="n">
        <v>46011</v>
      </c>
      <c r="D5582" t="inlineStr">
        <is>
          <t>VÄSTRA GÖTALANDS LÄN</t>
        </is>
      </c>
      <c r="E5582" t="inlineStr">
        <is>
          <t>TRANEMO</t>
        </is>
      </c>
      <c r="F5582" t="inlineStr">
        <is>
          <t>Kyrkan</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24642-2022</t>
        </is>
      </c>
      <c r="B5583" s="1" t="n">
        <v>44727.59578703704</v>
      </c>
      <c r="C5583" s="1" t="n">
        <v>46011</v>
      </c>
      <c r="D5583" t="inlineStr">
        <is>
          <t>VÄSTRA GÖTALANDS LÄN</t>
        </is>
      </c>
      <c r="E5583" t="inlineStr">
        <is>
          <t>ALE</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29647-2025</t>
        </is>
      </c>
      <c r="B5584" s="1" t="n">
        <v>45825.47179398148</v>
      </c>
      <c r="C5584" s="1" t="n">
        <v>46011</v>
      </c>
      <c r="D5584" t="inlineStr">
        <is>
          <t>VÄSTRA GÖTALANDS LÄN</t>
        </is>
      </c>
      <c r="E5584" t="inlineStr">
        <is>
          <t>BENGTSFORS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29670-2025</t>
        </is>
      </c>
      <c r="B5585" s="1" t="n">
        <v>45825.49831018518</v>
      </c>
      <c r="C5585" s="1" t="n">
        <v>46011</v>
      </c>
      <c r="D5585" t="inlineStr">
        <is>
          <t>VÄSTRA GÖTALANDS LÄN</t>
        </is>
      </c>
      <c r="E5585" t="inlineStr">
        <is>
          <t>MARIESTAD</t>
        </is>
      </c>
      <c r="F5585" t="inlineStr">
        <is>
          <t>Sveaskog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42711-2025</t>
        </is>
      </c>
      <c r="B5586" s="1" t="n">
        <v>45908.37621527778</v>
      </c>
      <c r="C5586" s="1" t="n">
        <v>46011</v>
      </c>
      <c r="D5586" t="inlineStr">
        <is>
          <t>VÄSTRA GÖTALANDS LÄN</t>
        </is>
      </c>
      <c r="E5586" t="inlineStr">
        <is>
          <t>ALINGSÅS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42651-2025</t>
        </is>
      </c>
      <c r="B5587" s="1" t="n">
        <v>45906.64269675926</v>
      </c>
      <c r="C5587" s="1" t="n">
        <v>46011</v>
      </c>
      <c r="D5587" t="inlineStr">
        <is>
          <t>VÄSTRA GÖTALANDS LÄN</t>
        </is>
      </c>
      <c r="E5587" t="inlineStr">
        <is>
          <t>TRANEMO</t>
        </is>
      </c>
      <c r="F5587" t="inlineStr">
        <is>
          <t>Kyrkan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60383-2022</t>
        </is>
      </c>
      <c r="B5588" s="1" t="n">
        <v>44910.71126157408</v>
      </c>
      <c r="C5588" s="1" t="n">
        <v>46011</v>
      </c>
      <c r="D5588" t="inlineStr">
        <is>
          <t>VÄSTRA GÖTALANDS LÄN</t>
        </is>
      </c>
      <c r="E5588" t="inlineStr">
        <is>
          <t>BORÅS</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46447-2021</t>
        </is>
      </c>
      <c r="B5589" s="1" t="n">
        <v>44442</v>
      </c>
      <c r="C5589" s="1" t="n">
        <v>46011</v>
      </c>
      <c r="D5589" t="inlineStr">
        <is>
          <t>VÄSTRA GÖTALANDS LÄN</t>
        </is>
      </c>
      <c r="E5589" t="inlineStr">
        <is>
          <t>DALS-ED</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42372-2025</t>
        </is>
      </c>
      <c r="B5590" s="1" t="n">
        <v>45905.3328125</v>
      </c>
      <c r="C5590" s="1" t="n">
        <v>46011</v>
      </c>
      <c r="D5590" t="inlineStr">
        <is>
          <t>VÄSTRA GÖTALANDS LÄN</t>
        </is>
      </c>
      <c r="E5590" t="inlineStr">
        <is>
          <t>SVENLJUNGA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42395-2025</t>
        </is>
      </c>
      <c r="B5591" s="1" t="n">
        <v>45905</v>
      </c>
      <c r="C5591" s="1" t="n">
        <v>46011</v>
      </c>
      <c r="D5591" t="inlineStr">
        <is>
          <t>VÄSTRA GÖTALANDS LÄN</t>
        </is>
      </c>
      <c r="E5591" t="inlineStr">
        <is>
          <t>VARA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42351-2025</t>
        </is>
      </c>
      <c r="B5592" s="1" t="n">
        <v>45904.81601851852</v>
      </c>
      <c r="C5592" s="1" t="n">
        <v>46011</v>
      </c>
      <c r="D5592" t="inlineStr">
        <is>
          <t>VÄSTRA GÖTALANDS LÄN</t>
        </is>
      </c>
      <c r="E5592" t="inlineStr">
        <is>
          <t>DALS-ED</t>
        </is>
      </c>
      <c r="F5592" t="inlineStr">
        <is>
          <t>Övriga Aktiebolag</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29515-2025</t>
        </is>
      </c>
      <c r="B5593" s="1" t="n">
        <v>45825.31734953704</v>
      </c>
      <c r="C5593" s="1" t="n">
        <v>46011</v>
      </c>
      <c r="D5593" t="inlineStr">
        <is>
          <t>VÄSTRA GÖTALANDS LÄN</t>
        </is>
      </c>
      <c r="E5593" t="inlineStr">
        <is>
          <t>ULRICEHAMN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42454-2025</t>
        </is>
      </c>
      <c r="B5594" s="1" t="n">
        <v>45905.44967592593</v>
      </c>
      <c r="C5594" s="1" t="n">
        <v>46011</v>
      </c>
      <c r="D5594" t="inlineStr">
        <is>
          <t>VÄSTRA GÖTALANDS LÄN</t>
        </is>
      </c>
      <c r="E5594" t="inlineStr">
        <is>
          <t>TANUM</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42462-2025</t>
        </is>
      </c>
      <c r="B5595" s="1" t="n">
        <v>45905.45730324074</v>
      </c>
      <c r="C5595" s="1" t="n">
        <v>46011</v>
      </c>
      <c r="D5595" t="inlineStr">
        <is>
          <t>VÄSTRA GÖTALANDS LÄN</t>
        </is>
      </c>
      <c r="E5595" t="inlineStr">
        <is>
          <t>TJÖRN</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9214-2024</t>
        </is>
      </c>
      <c r="B5596" s="1" t="n">
        <v>45358.50373842593</v>
      </c>
      <c r="C5596" s="1" t="n">
        <v>46011</v>
      </c>
      <c r="D5596" t="inlineStr">
        <is>
          <t>VÄSTRA GÖTALANDS LÄN</t>
        </is>
      </c>
      <c r="E5596" t="inlineStr">
        <is>
          <t>BENGTSFORS</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9215-2024</t>
        </is>
      </c>
      <c r="B5597" s="1" t="n">
        <v>45358</v>
      </c>
      <c r="C5597" s="1" t="n">
        <v>46011</v>
      </c>
      <c r="D5597" t="inlineStr">
        <is>
          <t>VÄSTRA GÖTALANDS LÄN</t>
        </is>
      </c>
      <c r="E5597" t="inlineStr">
        <is>
          <t>VARA</t>
        </is>
      </c>
      <c r="G5597" t="n">
        <v>12.2</v>
      </c>
      <c r="H5597" t="n">
        <v>0</v>
      </c>
      <c r="I5597" t="n">
        <v>0</v>
      </c>
      <c r="J5597" t="n">
        <v>0</v>
      </c>
      <c r="K5597" t="n">
        <v>0</v>
      </c>
      <c r="L5597" t="n">
        <v>0</v>
      </c>
      <c r="M5597" t="n">
        <v>0</v>
      </c>
      <c r="N5597" t="n">
        <v>0</v>
      </c>
      <c r="O5597" t="n">
        <v>0</v>
      </c>
      <c r="P5597" t="n">
        <v>0</v>
      </c>
      <c r="Q5597" t="n">
        <v>0</v>
      </c>
      <c r="R5597" s="2" t="inlineStr"/>
    </row>
    <row r="5598" ht="15" customHeight="1">
      <c r="A5598" t="inlineStr">
        <is>
          <t>A 29929-2025</t>
        </is>
      </c>
      <c r="B5598" s="1" t="n">
        <v>45826.43549768518</v>
      </c>
      <c r="C5598" s="1" t="n">
        <v>46011</v>
      </c>
      <c r="D5598" t="inlineStr">
        <is>
          <t>VÄSTRA GÖTALANDS LÄN</t>
        </is>
      </c>
      <c r="E5598" t="inlineStr">
        <is>
          <t>UDDEVALLA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9292-2024</t>
        </is>
      </c>
      <c r="B5599" s="1" t="n">
        <v>45358.67704861111</v>
      </c>
      <c r="C5599" s="1" t="n">
        <v>46011</v>
      </c>
      <c r="D5599" t="inlineStr">
        <is>
          <t>VÄSTRA GÖTALANDS LÄN</t>
        </is>
      </c>
      <c r="E5599" t="inlineStr">
        <is>
          <t>DALS-ED</t>
        </is>
      </c>
      <c r="F5599" t="inlineStr">
        <is>
          <t>Övriga Aktiebolag</t>
        </is>
      </c>
      <c r="G5599" t="n">
        <v>26.4</v>
      </c>
      <c r="H5599" t="n">
        <v>0</v>
      </c>
      <c r="I5599" t="n">
        <v>0</v>
      </c>
      <c r="J5599" t="n">
        <v>0</v>
      </c>
      <c r="K5599" t="n">
        <v>0</v>
      </c>
      <c r="L5599" t="n">
        <v>0</v>
      </c>
      <c r="M5599" t="n">
        <v>0</v>
      </c>
      <c r="N5599" t="n">
        <v>0</v>
      </c>
      <c r="O5599" t="n">
        <v>0</v>
      </c>
      <c r="P5599" t="n">
        <v>0</v>
      </c>
      <c r="Q5599" t="n">
        <v>0</v>
      </c>
      <c r="R5599" s="2" t="inlineStr"/>
    </row>
    <row r="5600" ht="15" customHeight="1">
      <c r="A5600" t="inlineStr">
        <is>
          <t>A 9299-2024</t>
        </is>
      </c>
      <c r="B5600" s="1" t="n">
        <v>45358.72425925926</v>
      </c>
      <c r="C5600" s="1" t="n">
        <v>46011</v>
      </c>
      <c r="D5600" t="inlineStr">
        <is>
          <t>VÄSTRA GÖTALANDS LÄN</t>
        </is>
      </c>
      <c r="E5600" t="inlineStr">
        <is>
          <t>SVENLJUNGA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41390-2024</t>
        </is>
      </c>
      <c r="B5601" s="1" t="n">
        <v>45560.31390046296</v>
      </c>
      <c r="C5601" s="1" t="n">
        <v>46011</v>
      </c>
      <c r="D5601" t="inlineStr">
        <is>
          <t>VÄSTRA GÖTALANDS LÄN</t>
        </is>
      </c>
      <c r="E5601" t="inlineStr">
        <is>
          <t>MARIESTAD</t>
        </is>
      </c>
      <c r="F5601" t="inlineStr">
        <is>
          <t>Sveaskog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49106-2022</t>
        </is>
      </c>
      <c r="B5602" s="1" t="n">
        <v>44860.6234375</v>
      </c>
      <c r="C5602" s="1" t="n">
        <v>46011</v>
      </c>
      <c r="D5602" t="inlineStr">
        <is>
          <t>VÄSTRA GÖTALANDS LÄN</t>
        </is>
      </c>
      <c r="E5602" t="inlineStr">
        <is>
          <t>HERRLJUNGA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32191-2024</t>
        </is>
      </c>
      <c r="B5603" s="1" t="n">
        <v>45511.6528587963</v>
      </c>
      <c r="C5603" s="1" t="n">
        <v>46011</v>
      </c>
      <c r="D5603" t="inlineStr">
        <is>
          <t>VÄSTRA GÖTALANDS LÄN</t>
        </is>
      </c>
      <c r="E5603" t="inlineStr">
        <is>
          <t>FALKÖPING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29928-2025</t>
        </is>
      </c>
      <c r="B5604" s="1" t="n">
        <v>45826.43283564815</v>
      </c>
      <c r="C5604" s="1" t="n">
        <v>46011</v>
      </c>
      <c r="D5604" t="inlineStr">
        <is>
          <t>VÄSTRA GÖTALANDS LÄN</t>
        </is>
      </c>
      <c r="E5604" t="inlineStr">
        <is>
          <t>UDDEVALLA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30009-2025</t>
        </is>
      </c>
      <c r="B5605" s="1" t="n">
        <v>45826.53834490741</v>
      </c>
      <c r="C5605" s="1" t="n">
        <v>46011</v>
      </c>
      <c r="D5605" t="inlineStr">
        <is>
          <t>VÄSTRA GÖTALANDS LÄN</t>
        </is>
      </c>
      <c r="E5605" t="inlineStr">
        <is>
          <t>MARK</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22480-2025</t>
        </is>
      </c>
      <c r="B5606" s="1" t="n">
        <v>45786.6363425926</v>
      </c>
      <c r="C5606" s="1" t="n">
        <v>46011</v>
      </c>
      <c r="D5606" t="inlineStr">
        <is>
          <t>VÄSTRA GÖTALANDS LÄN</t>
        </is>
      </c>
      <c r="E5606" t="inlineStr">
        <is>
          <t>TIDAHOLM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18741-2025</t>
        </is>
      </c>
      <c r="B5607" s="1" t="n">
        <v>45763.73197916667</v>
      </c>
      <c r="C5607" s="1" t="n">
        <v>46011</v>
      </c>
      <c r="D5607" t="inlineStr">
        <is>
          <t>VÄSTRA GÖTALANDS LÄN</t>
        </is>
      </c>
      <c r="E5607" t="inlineStr">
        <is>
          <t>TÖREBODA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29668-2025</t>
        </is>
      </c>
      <c r="B5608" s="1" t="n">
        <v>45825.49658564815</v>
      </c>
      <c r="C5608" s="1" t="n">
        <v>46011</v>
      </c>
      <c r="D5608" t="inlineStr">
        <is>
          <t>VÄSTRA GÖTALANDS LÄN</t>
        </is>
      </c>
      <c r="E5608" t="inlineStr">
        <is>
          <t>MARIESTAD</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29672-2025</t>
        </is>
      </c>
      <c r="B5609" s="1" t="n">
        <v>45825.50122685185</v>
      </c>
      <c r="C5609" s="1" t="n">
        <v>46011</v>
      </c>
      <c r="D5609" t="inlineStr">
        <is>
          <t>VÄSTRA GÖTALANDS LÄN</t>
        </is>
      </c>
      <c r="E5609" t="inlineStr">
        <is>
          <t>MARIESTAD</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29692-2025</t>
        </is>
      </c>
      <c r="B5610" s="1" t="n">
        <v>45825.54019675926</v>
      </c>
      <c r="C5610" s="1" t="n">
        <v>46011</v>
      </c>
      <c r="D5610" t="inlineStr">
        <is>
          <t>VÄSTRA GÖTALANDS LÄN</t>
        </is>
      </c>
      <c r="E5610" t="inlineStr">
        <is>
          <t>DALS-ED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30079-2025</t>
        </is>
      </c>
      <c r="B5611" s="1" t="n">
        <v>45826.64440972222</v>
      </c>
      <c r="C5611" s="1" t="n">
        <v>46011</v>
      </c>
      <c r="D5611" t="inlineStr">
        <is>
          <t>VÄSTRA GÖTALANDS LÄN</t>
        </is>
      </c>
      <c r="E5611" t="inlineStr">
        <is>
          <t>VÅRGÅRDA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19048-2023</t>
        </is>
      </c>
      <c r="B5612" s="1" t="n">
        <v>45047</v>
      </c>
      <c r="C5612" s="1" t="n">
        <v>46011</v>
      </c>
      <c r="D5612" t="inlineStr">
        <is>
          <t>VÄSTRA GÖTALANDS LÄN</t>
        </is>
      </c>
      <c r="E5612" t="inlineStr">
        <is>
          <t>TROLLHÄTTAN</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19049-2023</t>
        </is>
      </c>
      <c r="B5613" s="1" t="n">
        <v>45047</v>
      </c>
      <c r="C5613" s="1" t="n">
        <v>46011</v>
      </c>
      <c r="D5613" t="inlineStr">
        <is>
          <t>VÄSTRA GÖTALANDS LÄN</t>
        </is>
      </c>
      <c r="E5613" t="inlineStr">
        <is>
          <t>DALS-ED</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61497-2024</t>
        </is>
      </c>
      <c r="B5614" s="1" t="n">
        <v>45646.55346064815</v>
      </c>
      <c r="C5614" s="1" t="n">
        <v>46011</v>
      </c>
      <c r="D5614" t="inlineStr">
        <is>
          <t>VÄSTRA GÖTALANDS LÄN</t>
        </is>
      </c>
      <c r="E5614" t="inlineStr">
        <is>
          <t>DALS-ED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29631-2025</t>
        </is>
      </c>
      <c r="B5615" s="1" t="n">
        <v>45825.44777777778</v>
      </c>
      <c r="C5615" s="1" t="n">
        <v>46011</v>
      </c>
      <c r="D5615" t="inlineStr">
        <is>
          <t>VÄSTRA GÖTALANDS LÄN</t>
        </is>
      </c>
      <c r="E5615" t="inlineStr">
        <is>
          <t>UDDEVALLA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29638-2025</t>
        </is>
      </c>
      <c r="B5616" s="1" t="n">
        <v>45825.45644675926</v>
      </c>
      <c r="C5616" s="1" t="n">
        <v>46011</v>
      </c>
      <c r="D5616" t="inlineStr">
        <is>
          <t>VÄSTRA GÖTALANDS LÄN</t>
        </is>
      </c>
      <c r="E5616" t="inlineStr">
        <is>
          <t>BENGTSFORS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29686-2025</t>
        </is>
      </c>
      <c r="B5617" s="1" t="n">
        <v>45825.51634259259</v>
      </c>
      <c r="C5617" s="1" t="n">
        <v>46011</v>
      </c>
      <c r="D5617" t="inlineStr">
        <is>
          <t>VÄSTRA GÖTALANDS LÄN</t>
        </is>
      </c>
      <c r="E5617" t="inlineStr">
        <is>
          <t>DALS-ED</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42703-2025</t>
        </is>
      </c>
      <c r="B5618" s="1" t="n">
        <v>45908.36853009259</v>
      </c>
      <c r="C5618" s="1" t="n">
        <v>46011</v>
      </c>
      <c r="D5618" t="inlineStr">
        <is>
          <t>VÄSTRA GÖTALANDS LÄN</t>
        </is>
      </c>
      <c r="E5618" t="inlineStr">
        <is>
          <t>DALS-ED</t>
        </is>
      </c>
      <c r="F5618" t="inlineStr">
        <is>
          <t>Kyrkan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42710-2025</t>
        </is>
      </c>
      <c r="B5619" s="1" t="n">
        <v>45908.37523148148</v>
      </c>
      <c r="C5619" s="1" t="n">
        <v>46011</v>
      </c>
      <c r="D5619" t="inlineStr">
        <is>
          <t>VÄSTRA GÖTALANDS LÄN</t>
        </is>
      </c>
      <c r="E5619" t="inlineStr">
        <is>
          <t>ALINGSÅS</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29919-2025</t>
        </is>
      </c>
      <c r="B5620" s="1" t="n">
        <v>45826.42263888889</v>
      </c>
      <c r="C5620" s="1" t="n">
        <v>46011</v>
      </c>
      <c r="D5620" t="inlineStr">
        <is>
          <t>VÄSTRA GÖTALANDS LÄN</t>
        </is>
      </c>
      <c r="E5620" t="inlineStr">
        <is>
          <t>UDDEVALLA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29921-2025</t>
        </is>
      </c>
      <c r="B5621" s="1" t="n">
        <v>45826.42519675926</v>
      </c>
      <c r="C5621" s="1" t="n">
        <v>46011</v>
      </c>
      <c r="D5621" t="inlineStr">
        <is>
          <t>VÄSTRA GÖTALANDS LÄN</t>
        </is>
      </c>
      <c r="E5621" t="inlineStr">
        <is>
          <t>UDDEVALLA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35106-2021</t>
        </is>
      </c>
      <c r="B5622" s="1" t="n">
        <v>44384.36292824074</v>
      </c>
      <c r="C5622" s="1" t="n">
        <v>46011</v>
      </c>
      <c r="D5622" t="inlineStr">
        <is>
          <t>VÄSTRA GÖTALANDS LÄN</t>
        </is>
      </c>
      <c r="E5622" t="inlineStr">
        <is>
          <t>GRÄSTORP</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42490-2025</t>
        </is>
      </c>
      <c r="B5623" s="1" t="n">
        <v>45905.49694444444</v>
      </c>
      <c r="C5623" s="1" t="n">
        <v>46011</v>
      </c>
      <c r="D5623" t="inlineStr">
        <is>
          <t>VÄSTRA GÖTALANDS LÄN</t>
        </is>
      </c>
      <c r="E5623" t="inlineStr">
        <is>
          <t>ALINGSÅS</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29495-2025</t>
        </is>
      </c>
      <c r="B5624" s="1" t="n">
        <v>45824.84045138889</v>
      </c>
      <c r="C5624" s="1" t="n">
        <v>46011</v>
      </c>
      <c r="D5624" t="inlineStr">
        <is>
          <t>VÄSTRA GÖTALANDS LÄN</t>
        </is>
      </c>
      <c r="E5624" t="inlineStr">
        <is>
          <t>LIDKÖPING</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29815-2025</t>
        </is>
      </c>
      <c r="B5625" s="1" t="n">
        <v>45825.81784722222</v>
      </c>
      <c r="C5625" s="1" t="n">
        <v>46011</v>
      </c>
      <c r="D5625" t="inlineStr">
        <is>
          <t>VÄSTRA GÖTALANDS LÄN</t>
        </is>
      </c>
      <c r="E5625" t="inlineStr">
        <is>
          <t>GULLSPÅNG</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29827-2025</t>
        </is>
      </c>
      <c r="B5626" s="1" t="n">
        <v>45825.88684027778</v>
      </c>
      <c r="C5626" s="1" t="n">
        <v>46011</v>
      </c>
      <c r="D5626" t="inlineStr">
        <is>
          <t>VÄSTRA GÖTALANDS LÄN</t>
        </is>
      </c>
      <c r="E5626" t="inlineStr">
        <is>
          <t>DALS-ED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29509-2025</t>
        </is>
      </c>
      <c r="B5627" s="1" t="n">
        <v>45825.30631944445</v>
      </c>
      <c r="C5627" s="1" t="n">
        <v>46011</v>
      </c>
      <c r="D5627" t="inlineStr">
        <is>
          <t>VÄSTRA GÖTALANDS LÄN</t>
        </is>
      </c>
      <c r="E5627" t="inlineStr">
        <is>
          <t>ÅMÅL</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29556-2025</t>
        </is>
      </c>
      <c r="B5628" s="1" t="n">
        <v>45825.35626157407</v>
      </c>
      <c r="C5628" s="1" t="n">
        <v>46011</v>
      </c>
      <c r="D5628" t="inlineStr">
        <is>
          <t>VÄSTRA GÖTALANDS LÄN</t>
        </is>
      </c>
      <c r="E5628" t="inlineStr">
        <is>
          <t>DALS-ED</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42521-2025</t>
        </is>
      </c>
      <c r="B5629" s="1" t="n">
        <v>45905.5500925926</v>
      </c>
      <c r="C5629" s="1" t="n">
        <v>46011</v>
      </c>
      <c r="D5629" t="inlineStr">
        <is>
          <t>VÄSTRA GÖTALANDS LÄN</t>
        </is>
      </c>
      <c r="E5629" t="inlineStr">
        <is>
          <t>MARK</t>
        </is>
      </c>
      <c r="G5629" t="n">
        <v>0</v>
      </c>
      <c r="H5629" t="n">
        <v>0</v>
      </c>
      <c r="I5629" t="n">
        <v>0</v>
      </c>
      <c r="J5629" t="n">
        <v>0</v>
      </c>
      <c r="K5629" t="n">
        <v>0</v>
      </c>
      <c r="L5629" t="n">
        <v>0</v>
      </c>
      <c r="M5629" t="n">
        <v>0</v>
      </c>
      <c r="N5629" t="n">
        <v>0</v>
      </c>
      <c r="O5629" t="n">
        <v>0</v>
      </c>
      <c r="P5629" t="n">
        <v>0</v>
      </c>
      <c r="Q5629" t="n">
        <v>0</v>
      </c>
      <c r="R5629" s="2" t="inlineStr"/>
    </row>
    <row r="5630" ht="15" customHeight="1">
      <c r="A5630" t="inlineStr">
        <is>
          <t>A 38875-2024</t>
        </is>
      </c>
      <c r="B5630" s="1" t="n">
        <v>45547.64564814815</v>
      </c>
      <c r="C5630" s="1" t="n">
        <v>46011</v>
      </c>
      <c r="D5630" t="inlineStr">
        <is>
          <t>VÄSTRA GÖTALANDS LÄN</t>
        </is>
      </c>
      <c r="E5630" t="inlineStr">
        <is>
          <t>TIDAHOLM</t>
        </is>
      </c>
      <c r="F5630" t="inlineStr">
        <is>
          <t>Sveaskog</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8452-2023</t>
        </is>
      </c>
      <c r="B5631" s="1" t="n">
        <v>44977.48174768518</v>
      </c>
      <c r="C5631" s="1" t="n">
        <v>46011</v>
      </c>
      <c r="D5631" t="inlineStr">
        <is>
          <t>VÄSTRA GÖTALANDS LÄN</t>
        </is>
      </c>
      <c r="E5631" t="inlineStr">
        <is>
          <t>FÄRGELANDA</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29924-2025</t>
        </is>
      </c>
      <c r="B5632" s="1" t="n">
        <v>45826.42863425926</v>
      </c>
      <c r="C5632" s="1" t="n">
        <v>46011</v>
      </c>
      <c r="D5632" t="inlineStr">
        <is>
          <t>VÄSTRA GÖTALANDS LÄN</t>
        </is>
      </c>
      <c r="E5632" t="inlineStr">
        <is>
          <t>ULRICEHAMN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42836-2025</t>
        </is>
      </c>
      <c r="B5633" s="1" t="n">
        <v>45908.58085648148</v>
      </c>
      <c r="C5633" s="1" t="n">
        <v>46011</v>
      </c>
      <c r="D5633" t="inlineStr">
        <is>
          <t>VÄSTRA GÖTALANDS LÄN</t>
        </is>
      </c>
      <c r="E5633" t="inlineStr">
        <is>
          <t>MUNKEDAL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29494-2025</t>
        </is>
      </c>
      <c r="B5634" s="1" t="n">
        <v>45824.82013888889</v>
      </c>
      <c r="C5634" s="1" t="n">
        <v>46011</v>
      </c>
      <c r="D5634" t="inlineStr">
        <is>
          <t>VÄSTRA GÖTALANDS LÄN</t>
        </is>
      </c>
      <c r="E5634" t="inlineStr">
        <is>
          <t>MARIESTAD</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29805-2025</t>
        </is>
      </c>
      <c r="B5635" s="1" t="n">
        <v>45825</v>
      </c>
      <c r="C5635" s="1" t="n">
        <v>46011</v>
      </c>
      <c r="D5635" t="inlineStr">
        <is>
          <t>VÄSTRA GÖTALANDS LÄN</t>
        </is>
      </c>
      <c r="E5635" t="inlineStr">
        <is>
          <t>MARIESTAD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29814-2025</t>
        </is>
      </c>
      <c r="B5636" s="1" t="n">
        <v>45825.78996527778</v>
      </c>
      <c r="C5636" s="1" t="n">
        <v>46011</v>
      </c>
      <c r="D5636" t="inlineStr">
        <is>
          <t>VÄSTRA GÖTALANDS LÄN</t>
        </is>
      </c>
      <c r="E5636" t="inlineStr">
        <is>
          <t>VARA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29790-2025</t>
        </is>
      </c>
      <c r="B5637" s="1" t="n">
        <v>45825.66005787037</v>
      </c>
      <c r="C5637" s="1" t="n">
        <v>46011</v>
      </c>
      <c r="D5637" t="inlineStr">
        <is>
          <t>VÄSTRA GÖTALANDS LÄN</t>
        </is>
      </c>
      <c r="E5637" t="inlineStr">
        <is>
          <t>DALS-ED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12448-2024</t>
        </is>
      </c>
      <c r="B5638" s="1" t="n">
        <v>45378</v>
      </c>
      <c r="C5638" s="1" t="n">
        <v>46011</v>
      </c>
      <c r="D5638" t="inlineStr">
        <is>
          <t>VÄSTRA GÖTALANDS LÄN</t>
        </is>
      </c>
      <c r="E5638" t="inlineStr">
        <is>
          <t>TÖREBODA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42466-2025</t>
        </is>
      </c>
      <c r="B5639" s="1" t="n">
        <v>45905</v>
      </c>
      <c r="C5639" s="1" t="n">
        <v>46011</v>
      </c>
      <c r="D5639" t="inlineStr">
        <is>
          <t>VÄSTRA GÖTALANDS LÄN</t>
        </is>
      </c>
      <c r="E5639" t="inlineStr">
        <is>
          <t>MARK</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13987-2025</t>
        </is>
      </c>
      <c r="B5640" s="1" t="n">
        <v>45739.38702546297</v>
      </c>
      <c r="C5640" s="1" t="n">
        <v>46011</v>
      </c>
      <c r="D5640" t="inlineStr">
        <is>
          <t>VÄSTRA GÖTALANDS LÄN</t>
        </is>
      </c>
      <c r="E5640" t="inlineStr">
        <is>
          <t>SVENLJUNGA</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14006-2025</t>
        </is>
      </c>
      <c r="B5641" s="1" t="n">
        <v>45740.30222222222</v>
      </c>
      <c r="C5641" s="1" t="n">
        <v>46011</v>
      </c>
      <c r="D5641" t="inlineStr">
        <is>
          <t>VÄSTRA GÖTALANDS LÄN</t>
        </is>
      </c>
      <c r="E5641" t="inlineStr">
        <is>
          <t>TRANEMO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14128-2025</t>
        </is>
      </c>
      <c r="B5642" s="1" t="n">
        <v>45740.47094907407</v>
      </c>
      <c r="C5642" s="1" t="n">
        <v>46011</v>
      </c>
      <c r="D5642" t="inlineStr">
        <is>
          <t>VÄSTRA GÖTALANDS LÄN</t>
        </is>
      </c>
      <c r="E5642" t="inlineStr">
        <is>
          <t>MARK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10270-2025</t>
        </is>
      </c>
      <c r="B5643" s="1" t="n">
        <v>45720.38792824074</v>
      </c>
      <c r="C5643" s="1" t="n">
        <v>46011</v>
      </c>
      <c r="D5643" t="inlineStr">
        <is>
          <t>VÄSTRA GÖTALANDS LÄN</t>
        </is>
      </c>
      <c r="E5643" t="inlineStr">
        <is>
          <t>ULRICEHAMN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10657-2025</t>
        </is>
      </c>
      <c r="B5644" s="1" t="n">
        <v>45721.70053240741</v>
      </c>
      <c r="C5644" s="1" t="n">
        <v>46011</v>
      </c>
      <c r="D5644" t="inlineStr">
        <is>
          <t>VÄSTRA GÖTALANDS LÄN</t>
        </is>
      </c>
      <c r="E5644" t="inlineStr">
        <is>
          <t>MARK</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14836-2025</t>
        </is>
      </c>
      <c r="B5645" s="1" t="n">
        <v>45743.38391203704</v>
      </c>
      <c r="C5645" s="1" t="n">
        <v>46011</v>
      </c>
      <c r="D5645" t="inlineStr">
        <is>
          <t>VÄSTRA GÖTALANDS LÄN</t>
        </is>
      </c>
      <c r="E5645" t="inlineStr">
        <is>
          <t>HERRLJUNGA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11127-2025</t>
        </is>
      </c>
      <c r="B5646" s="1" t="n">
        <v>45723.64304398148</v>
      </c>
      <c r="C5646" s="1" t="n">
        <v>46011</v>
      </c>
      <c r="D5646" t="inlineStr">
        <is>
          <t>VÄSTRA GÖTALANDS LÄN</t>
        </is>
      </c>
      <c r="E5646" t="inlineStr">
        <is>
          <t>ALINGSÅS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14935-2025</t>
        </is>
      </c>
      <c r="B5647" s="1" t="n">
        <v>45743.55704861111</v>
      </c>
      <c r="C5647" s="1" t="n">
        <v>46011</v>
      </c>
      <c r="D5647" t="inlineStr">
        <is>
          <t>VÄSTRA GÖTALANDS LÄN</t>
        </is>
      </c>
      <c r="E5647" t="inlineStr">
        <is>
          <t>ULRICEHAMN</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14943-2025</t>
        </is>
      </c>
      <c r="B5648" s="1" t="n">
        <v>45743.56715277778</v>
      </c>
      <c r="C5648" s="1" t="n">
        <v>46011</v>
      </c>
      <c r="D5648" t="inlineStr">
        <is>
          <t>VÄSTRA GÖTALANDS LÄN</t>
        </is>
      </c>
      <c r="E5648" t="inlineStr">
        <is>
          <t>ULRICEHAMN</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12981-2025</t>
        </is>
      </c>
      <c r="B5649" s="1" t="n">
        <v>45734.46116898148</v>
      </c>
      <c r="C5649" s="1" t="n">
        <v>46011</v>
      </c>
      <c r="D5649" t="inlineStr">
        <is>
          <t>VÄSTRA GÖTALANDS LÄN</t>
        </is>
      </c>
      <c r="E5649" t="inlineStr">
        <is>
          <t>TRANEMO</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12995-2025</t>
        </is>
      </c>
      <c r="B5650" s="1" t="n">
        <v>45734</v>
      </c>
      <c r="C5650" s="1" t="n">
        <v>46011</v>
      </c>
      <c r="D5650" t="inlineStr">
        <is>
          <t>VÄSTRA GÖTALANDS LÄN</t>
        </is>
      </c>
      <c r="E5650" t="inlineStr">
        <is>
          <t>SVENLJUNGA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12628-2025</t>
        </is>
      </c>
      <c r="B5651" s="1" t="n">
        <v>45733.36819444445</v>
      </c>
      <c r="C5651" s="1" t="n">
        <v>46011</v>
      </c>
      <c r="D5651" t="inlineStr">
        <is>
          <t>VÄSTRA GÖTALANDS LÄN</t>
        </is>
      </c>
      <c r="E5651" t="inlineStr">
        <is>
          <t>HERRLJUNGA</t>
        </is>
      </c>
      <c r="F5651" t="inlineStr">
        <is>
          <t>Sveaskog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13034-2025</t>
        </is>
      </c>
      <c r="B5652" s="1" t="n">
        <v>45734.57408564815</v>
      </c>
      <c r="C5652" s="1" t="n">
        <v>46011</v>
      </c>
      <c r="D5652" t="inlineStr">
        <is>
          <t>VÄSTRA GÖTALANDS LÄN</t>
        </is>
      </c>
      <c r="E5652" t="inlineStr">
        <is>
          <t>VÅRGÅRDA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13362-2025</t>
        </is>
      </c>
      <c r="B5653" s="1" t="n">
        <v>45735.65590277778</v>
      </c>
      <c r="C5653" s="1" t="n">
        <v>46011</v>
      </c>
      <c r="D5653" t="inlineStr">
        <is>
          <t>VÄSTRA GÖTALANDS LÄN</t>
        </is>
      </c>
      <c r="E5653" t="inlineStr">
        <is>
          <t>SVENLJUNGA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13382-2025</t>
        </is>
      </c>
      <c r="B5654" s="1" t="n">
        <v>45735.67928240741</v>
      </c>
      <c r="C5654" s="1" t="n">
        <v>46011</v>
      </c>
      <c r="D5654" t="inlineStr">
        <is>
          <t>VÄSTRA GÖTALANDS LÄN</t>
        </is>
      </c>
      <c r="E5654" t="inlineStr">
        <is>
          <t>ALE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1454-2023</t>
        </is>
      </c>
      <c r="B5655" s="1" t="n">
        <v>44937</v>
      </c>
      <c r="C5655" s="1" t="n">
        <v>46011</v>
      </c>
      <c r="D5655" t="inlineStr">
        <is>
          <t>VÄSTRA GÖTALANDS LÄN</t>
        </is>
      </c>
      <c r="E5655" t="inlineStr">
        <is>
          <t>KARLSBORG</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13923-2025</t>
        </is>
      </c>
      <c r="B5656" s="1" t="n">
        <v>45737.66050925926</v>
      </c>
      <c r="C5656" s="1" t="n">
        <v>46011</v>
      </c>
      <c r="D5656" t="inlineStr">
        <is>
          <t>VÄSTRA GÖTALANDS LÄN</t>
        </is>
      </c>
      <c r="E5656" t="inlineStr">
        <is>
          <t>MARK</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13935-2025</t>
        </is>
      </c>
      <c r="B5657" s="1" t="n">
        <v>45737.67806712963</v>
      </c>
      <c r="C5657" s="1" t="n">
        <v>46011</v>
      </c>
      <c r="D5657" t="inlineStr">
        <is>
          <t>VÄSTRA GÖTALANDS LÄN</t>
        </is>
      </c>
      <c r="E5657" t="inlineStr">
        <is>
          <t>SVENLJUNGA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13731-2025</t>
        </is>
      </c>
      <c r="B5658" s="1" t="n">
        <v>45737.38832175926</v>
      </c>
      <c r="C5658" s="1" t="n">
        <v>46011</v>
      </c>
      <c r="D5658" t="inlineStr">
        <is>
          <t>VÄSTRA GÖTALANDS LÄN</t>
        </is>
      </c>
      <c r="E5658" t="inlineStr">
        <is>
          <t>HERRLJUNGA</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14546-2025</t>
        </is>
      </c>
      <c r="B5659" s="1" t="n">
        <v>45741</v>
      </c>
      <c r="C5659" s="1" t="n">
        <v>46011</v>
      </c>
      <c r="D5659" t="inlineStr">
        <is>
          <t>VÄSTRA GÖTALANDS LÄN</t>
        </is>
      </c>
      <c r="E5659" t="inlineStr">
        <is>
          <t>MARK</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10291-2025</t>
        </is>
      </c>
      <c r="B5660" s="1" t="n">
        <v>45720.42122685185</v>
      </c>
      <c r="C5660" s="1" t="n">
        <v>46011</v>
      </c>
      <c r="D5660" t="inlineStr">
        <is>
          <t>VÄSTRA GÖTALANDS LÄN</t>
        </is>
      </c>
      <c r="E5660" t="inlineStr">
        <is>
          <t>BORÅS</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14902-2025</t>
        </is>
      </c>
      <c r="B5661" s="1" t="n">
        <v>45743.48855324074</v>
      </c>
      <c r="C5661" s="1" t="n">
        <v>46011</v>
      </c>
      <c r="D5661" t="inlineStr">
        <is>
          <t>VÄSTRA GÖTALANDS LÄN</t>
        </is>
      </c>
      <c r="E5661" t="inlineStr">
        <is>
          <t>MARK</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15324-2025</t>
        </is>
      </c>
      <c r="B5662" s="1" t="n">
        <v>45747.3316550926</v>
      </c>
      <c r="C5662" s="1" t="n">
        <v>46011</v>
      </c>
      <c r="D5662" t="inlineStr">
        <is>
          <t>VÄSTRA GÖTALANDS LÄN</t>
        </is>
      </c>
      <c r="E5662" t="inlineStr">
        <is>
          <t>TRANEMO</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13426-2025</t>
        </is>
      </c>
      <c r="B5663" s="1" t="n">
        <v>45736.32780092592</v>
      </c>
      <c r="C5663" s="1" t="n">
        <v>46011</v>
      </c>
      <c r="D5663" t="inlineStr">
        <is>
          <t>VÄSTRA GÖTALANDS LÄN</t>
        </is>
      </c>
      <c r="E5663" t="inlineStr">
        <is>
          <t>ALE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15046-2024</t>
        </is>
      </c>
      <c r="B5664" s="1" t="n">
        <v>45399</v>
      </c>
      <c r="C5664" s="1" t="n">
        <v>46011</v>
      </c>
      <c r="D5664" t="inlineStr">
        <is>
          <t>VÄSTRA GÖTALANDS LÄN</t>
        </is>
      </c>
      <c r="E5664" t="inlineStr">
        <is>
          <t>FÄRGELANDA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15080-2024</t>
        </is>
      </c>
      <c r="B5665" s="1" t="n">
        <v>45399.6205787037</v>
      </c>
      <c r="C5665" s="1" t="n">
        <v>46011</v>
      </c>
      <c r="D5665" t="inlineStr">
        <is>
          <t>VÄSTRA GÖTALANDS LÄN</t>
        </is>
      </c>
      <c r="E5665" t="inlineStr">
        <is>
          <t>BENGTSFORS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15086-2024</t>
        </is>
      </c>
      <c r="B5666" s="1" t="n">
        <v>45399.63689814815</v>
      </c>
      <c r="C5666" s="1" t="n">
        <v>46011</v>
      </c>
      <c r="D5666" t="inlineStr">
        <is>
          <t>VÄSTRA GÖTALANDS LÄN</t>
        </is>
      </c>
      <c r="E5666" t="inlineStr">
        <is>
          <t>TÖREBODA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42362-2025</t>
        </is>
      </c>
      <c r="B5667" s="1" t="n">
        <v>45905.31484953704</v>
      </c>
      <c r="C5667" s="1" t="n">
        <v>46011</v>
      </c>
      <c r="D5667" t="inlineStr">
        <is>
          <t>VÄSTRA GÖTALANDS LÄN</t>
        </is>
      </c>
      <c r="E5667" t="inlineStr">
        <is>
          <t>DALS-ED</t>
        </is>
      </c>
      <c r="F5667" t="inlineStr">
        <is>
          <t>Övriga Aktiebolag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11755-2025</t>
        </is>
      </c>
      <c r="B5668" s="1" t="n">
        <v>45727.64140046296</v>
      </c>
      <c r="C5668" s="1" t="n">
        <v>46011</v>
      </c>
      <c r="D5668" t="inlineStr">
        <is>
          <t>VÄSTRA GÖTALANDS LÄN</t>
        </is>
      </c>
      <c r="E5668" t="inlineStr">
        <is>
          <t>BORÅS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12752-2025</t>
        </is>
      </c>
      <c r="B5669" s="1" t="n">
        <v>45733.55653935186</v>
      </c>
      <c r="C5669" s="1" t="n">
        <v>46011</v>
      </c>
      <c r="D5669" t="inlineStr">
        <is>
          <t>VÄSTRA GÖTALANDS LÄN</t>
        </is>
      </c>
      <c r="E5669" t="inlineStr">
        <is>
          <t>SVENLJUNGA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14008-2025</t>
        </is>
      </c>
      <c r="B5670" s="1" t="n">
        <v>45740.308125</v>
      </c>
      <c r="C5670" s="1" t="n">
        <v>46011</v>
      </c>
      <c r="D5670" t="inlineStr">
        <is>
          <t>VÄSTRA GÖTALANDS LÄN</t>
        </is>
      </c>
      <c r="E5670" t="inlineStr">
        <is>
          <t>TRANEMO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14032-2025</t>
        </is>
      </c>
      <c r="B5671" s="1" t="n">
        <v>45740.35876157408</v>
      </c>
      <c r="C5671" s="1" t="n">
        <v>46011</v>
      </c>
      <c r="D5671" t="inlineStr">
        <is>
          <t>VÄSTRA GÖTALANDS LÄN</t>
        </is>
      </c>
      <c r="E5671" t="inlineStr">
        <is>
          <t>BOLLEBYGD</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11928-2025</t>
        </is>
      </c>
      <c r="B5672" s="1" t="n">
        <v>45728.51762731482</v>
      </c>
      <c r="C5672" s="1" t="n">
        <v>46011</v>
      </c>
      <c r="D5672" t="inlineStr">
        <is>
          <t>VÄSTRA GÖTALANDS LÄN</t>
        </is>
      </c>
      <c r="E5672" t="inlineStr">
        <is>
          <t>MARK</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8926-2022</t>
        </is>
      </c>
      <c r="B5673" s="1" t="n">
        <v>44614</v>
      </c>
      <c r="C5673" s="1" t="n">
        <v>46011</v>
      </c>
      <c r="D5673" t="inlineStr">
        <is>
          <t>VÄSTRA GÖTALANDS LÄN</t>
        </is>
      </c>
      <c r="E5673" t="inlineStr">
        <is>
          <t>GULLSPÅNG</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13547-2025</t>
        </is>
      </c>
      <c r="B5674" s="1" t="n">
        <v>45736.53746527778</v>
      </c>
      <c r="C5674" s="1" t="n">
        <v>46011</v>
      </c>
      <c r="D5674" t="inlineStr">
        <is>
          <t>VÄSTRA GÖTALANDS LÄN</t>
        </is>
      </c>
      <c r="E5674" t="inlineStr">
        <is>
          <t>SVENLJUNGA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13598-2025</t>
        </is>
      </c>
      <c r="B5675" s="1" t="n">
        <v>45736.60548611111</v>
      </c>
      <c r="C5675" s="1" t="n">
        <v>46011</v>
      </c>
      <c r="D5675" t="inlineStr">
        <is>
          <t>VÄSTRA GÖTALANDS LÄN</t>
        </is>
      </c>
      <c r="E5675" t="inlineStr">
        <is>
          <t>HERRLJUNGA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4944-2025</t>
        </is>
      </c>
      <c r="B5676" s="1" t="n">
        <v>45688.77449074074</v>
      </c>
      <c r="C5676" s="1" t="n">
        <v>46011</v>
      </c>
      <c r="D5676" t="inlineStr">
        <is>
          <t>VÄSTRA GÖTALANDS LÄN</t>
        </is>
      </c>
      <c r="E5676" t="inlineStr">
        <is>
          <t>SVENLJUNGA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1716-2021</t>
        </is>
      </c>
      <c r="B5677" s="1" t="n">
        <v>44209</v>
      </c>
      <c r="C5677" s="1" t="n">
        <v>46011</v>
      </c>
      <c r="D5677" t="inlineStr">
        <is>
          <t>VÄSTRA GÖTALANDS LÄN</t>
        </is>
      </c>
      <c r="E5677" t="inlineStr">
        <is>
          <t>LIDKÖPING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14948-2025</t>
        </is>
      </c>
      <c r="B5678" s="1" t="n">
        <v>45743.57358796296</v>
      </c>
      <c r="C5678" s="1" t="n">
        <v>46011</v>
      </c>
      <c r="D5678" t="inlineStr">
        <is>
          <t>VÄSTRA GÖTALANDS LÄN</t>
        </is>
      </c>
      <c r="E5678" t="inlineStr">
        <is>
          <t>ULRICEHAMN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14996-2025</t>
        </is>
      </c>
      <c r="B5679" s="1" t="n">
        <v>45743.61261574074</v>
      </c>
      <c r="C5679" s="1" t="n">
        <v>46011</v>
      </c>
      <c r="D5679" t="inlineStr">
        <is>
          <t>VÄSTRA GÖTALANDS LÄN</t>
        </is>
      </c>
      <c r="E5679" t="inlineStr">
        <is>
          <t>MARK</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14999-2025</t>
        </is>
      </c>
      <c r="B5680" s="1" t="n">
        <v>45743.61517361111</v>
      </c>
      <c r="C5680" s="1" t="n">
        <v>46011</v>
      </c>
      <c r="D5680" t="inlineStr">
        <is>
          <t>VÄSTRA GÖTALANDS LÄN</t>
        </is>
      </c>
      <c r="E5680" t="inlineStr">
        <is>
          <t>MARK</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11359-2025</t>
        </is>
      </c>
      <c r="B5681" s="1" t="n">
        <v>45726.53104166667</v>
      </c>
      <c r="C5681" s="1" t="n">
        <v>46011</v>
      </c>
      <c r="D5681" t="inlineStr">
        <is>
          <t>VÄSTRA GÖTALANDS LÄN</t>
        </is>
      </c>
      <c r="E5681" t="inlineStr">
        <is>
          <t>SVENLJUNGA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11388-2025</t>
        </is>
      </c>
      <c r="B5682" s="1" t="n">
        <v>45726.56748842593</v>
      </c>
      <c r="C5682" s="1" t="n">
        <v>46011</v>
      </c>
      <c r="D5682" t="inlineStr">
        <is>
          <t>VÄSTRA GÖTALANDS LÄN</t>
        </is>
      </c>
      <c r="E5682" t="inlineStr">
        <is>
          <t>ALINGSÅS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12033-2025</t>
        </is>
      </c>
      <c r="B5683" s="1" t="n">
        <v>45728.64533564815</v>
      </c>
      <c r="C5683" s="1" t="n">
        <v>46011</v>
      </c>
      <c r="D5683" t="inlineStr">
        <is>
          <t>VÄSTRA GÖTALANDS LÄN</t>
        </is>
      </c>
      <c r="E5683" t="inlineStr">
        <is>
          <t>HERRLJUNGA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42893-2025</t>
        </is>
      </c>
      <c r="B5684" s="1" t="n">
        <v>45908.6643287037</v>
      </c>
      <c r="C5684" s="1" t="n">
        <v>46011</v>
      </c>
      <c r="D5684" t="inlineStr">
        <is>
          <t>VÄSTRA GÖTALANDS LÄN</t>
        </is>
      </c>
      <c r="E5684" t="inlineStr">
        <is>
          <t>FÄRGELANDA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4639-2022</t>
        </is>
      </c>
      <c r="B5685" s="1" t="n">
        <v>44592</v>
      </c>
      <c r="C5685" s="1" t="n">
        <v>46011</v>
      </c>
      <c r="D5685" t="inlineStr">
        <is>
          <t>VÄSTRA GÖTALANDS LÄN</t>
        </is>
      </c>
      <c r="E5685" t="inlineStr">
        <is>
          <t>UDDEVALLA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42371-2025</t>
        </is>
      </c>
      <c r="B5686" s="1" t="n">
        <v>45905.33233796297</v>
      </c>
      <c r="C5686" s="1" t="n">
        <v>46011</v>
      </c>
      <c r="D5686" t="inlineStr">
        <is>
          <t>VÄSTRA GÖTALANDS LÄN</t>
        </is>
      </c>
      <c r="E5686" t="inlineStr">
        <is>
          <t>DALS-ED</t>
        </is>
      </c>
      <c r="F5686" t="inlineStr">
        <is>
          <t>Övriga Aktiebolag</t>
        </is>
      </c>
      <c r="G5686" t="n">
        <v>10.6</v>
      </c>
      <c r="H5686" t="n">
        <v>0</v>
      </c>
      <c r="I5686" t="n">
        <v>0</v>
      </c>
      <c r="J5686" t="n">
        <v>0</v>
      </c>
      <c r="K5686" t="n">
        <v>0</v>
      </c>
      <c r="L5686" t="n">
        <v>0</v>
      </c>
      <c r="M5686" t="n">
        <v>0</v>
      </c>
      <c r="N5686" t="n">
        <v>0</v>
      </c>
      <c r="O5686" t="n">
        <v>0</v>
      </c>
      <c r="P5686" t="n">
        <v>0</v>
      </c>
      <c r="Q5686" t="n">
        <v>0</v>
      </c>
      <c r="R5686" s="2" t="inlineStr"/>
    </row>
    <row r="5687" ht="15" customHeight="1">
      <c r="A5687" t="inlineStr">
        <is>
          <t>A 30150-2025</t>
        </is>
      </c>
      <c r="B5687" s="1" t="n">
        <v>45827.31333333333</v>
      </c>
      <c r="C5687" s="1" t="n">
        <v>46011</v>
      </c>
      <c r="D5687" t="inlineStr">
        <is>
          <t>VÄSTRA GÖTALANDS LÄN</t>
        </is>
      </c>
      <c r="E5687" t="inlineStr">
        <is>
          <t>SKÖVDE</t>
        </is>
      </c>
      <c r="F5687" t="inlineStr">
        <is>
          <t>Kommuner</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20246-2025</t>
        </is>
      </c>
      <c r="B5688" s="1" t="n">
        <v>45772.71413194444</v>
      </c>
      <c r="C5688" s="1" t="n">
        <v>46011</v>
      </c>
      <c r="D5688" t="inlineStr">
        <is>
          <t>VÄSTRA GÖTALANDS LÄN</t>
        </is>
      </c>
      <c r="E5688" t="inlineStr">
        <is>
          <t>BENGTSFORS</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6180-2022</t>
        </is>
      </c>
      <c r="B5689" s="1" t="n">
        <v>44600</v>
      </c>
      <c r="C5689" s="1" t="n">
        <v>46011</v>
      </c>
      <c r="D5689" t="inlineStr">
        <is>
          <t>VÄSTRA GÖTALANDS LÄN</t>
        </is>
      </c>
      <c r="E5689" t="inlineStr">
        <is>
          <t>FÄRGELANDA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7288-2021</t>
        </is>
      </c>
      <c r="B5690" s="1" t="n">
        <v>44238</v>
      </c>
      <c r="C5690" s="1" t="n">
        <v>46011</v>
      </c>
      <c r="D5690" t="inlineStr">
        <is>
          <t>VÄSTRA GÖTALANDS LÄN</t>
        </is>
      </c>
      <c r="E5690" t="inlineStr">
        <is>
          <t>MARIESTAD</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42831-2025</t>
        </is>
      </c>
      <c r="B5691" s="1" t="n">
        <v>45908.5778587963</v>
      </c>
      <c r="C5691" s="1" t="n">
        <v>46011</v>
      </c>
      <c r="D5691" t="inlineStr">
        <is>
          <t>VÄSTRA GÖTALANDS LÄN</t>
        </is>
      </c>
      <c r="E5691" t="inlineStr">
        <is>
          <t>MUNKEDAL</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42837-2025</t>
        </is>
      </c>
      <c r="B5692" s="1" t="n">
        <v>45908.58097222223</v>
      </c>
      <c r="C5692" s="1" t="n">
        <v>46011</v>
      </c>
      <c r="D5692" t="inlineStr">
        <is>
          <t>VÄSTRA GÖTALANDS LÄN</t>
        </is>
      </c>
      <c r="E5692" t="inlineStr">
        <is>
          <t>SKÖVDE</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42842-2025</t>
        </is>
      </c>
      <c r="B5693" s="1" t="n">
        <v>45908.58668981482</v>
      </c>
      <c r="C5693" s="1" t="n">
        <v>46011</v>
      </c>
      <c r="D5693" t="inlineStr">
        <is>
          <t>VÄSTRA GÖTALANDS LÄN</t>
        </is>
      </c>
      <c r="E5693" t="inlineStr">
        <is>
          <t>TANUM</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32107-2023</t>
        </is>
      </c>
      <c r="B5694" s="1" t="n">
        <v>45119.61793981482</v>
      </c>
      <c r="C5694" s="1" t="n">
        <v>46011</v>
      </c>
      <c r="D5694" t="inlineStr">
        <is>
          <t>VÄSTRA GÖTALANDS LÄN</t>
        </is>
      </c>
      <c r="E5694" t="inlineStr">
        <is>
          <t>LILLA EDET</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10941-2025</t>
        </is>
      </c>
      <c r="B5695" s="1" t="n">
        <v>45723.30767361111</v>
      </c>
      <c r="C5695" s="1" t="n">
        <v>46011</v>
      </c>
      <c r="D5695" t="inlineStr">
        <is>
          <t>VÄSTRA GÖTALANDS LÄN</t>
        </is>
      </c>
      <c r="E5695" t="inlineStr">
        <is>
          <t>SVENLJUNGA</t>
        </is>
      </c>
      <c r="F5695" t="inlineStr">
        <is>
          <t>Sveaskog</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11209-2025</t>
        </is>
      </c>
      <c r="B5696" s="1" t="n">
        <v>45726.32915509259</v>
      </c>
      <c r="C5696" s="1" t="n">
        <v>46011</v>
      </c>
      <c r="D5696" t="inlineStr">
        <is>
          <t>VÄSTRA GÖTALANDS LÄN</t>
        </is>
      </c>
      <c r="E5696" t="inlineStr">
        <is>
          <t>SVENLJUNGA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11421-2025</t>
        </is>
      </c>
      <c r="B5697" s="1" t="n">
        <v>45726.60076388889</v>
      </c>
      <c r="C5697" s="1" t="n">
        <v>46011</v>
      </c>
      <c r="D5697" t="inlineStr">
        <is>
          <t>VÄSTRA GÖTALANDS LÄN</t>
        </is>
      </c>
      <c r="E5697" t="inlineStr">
        <is>
          <t>TRANEMO</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60643-2022</t>
        </is>
      </c>
      <c r="B5698" s="1" t="n">
        <v>44911.72277777778</v>
      </c>
      <c r="C5698" s="1" t="n">
        <v>46011</v>
      </c>
      <c r="D5698" t="inlineStr">
        <is>
          <t>VÄSTRA GÖTALANDS LÄN</t>
        </is>
      </c>
      <c r="E5698" t="inlineStr">
        <is>
          <t>TIDAHOLM</t>
        </is>
      </c>
      <c r="F5698" t="inlineStr">
        <is>
          <t>Sveaskog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60644-2022</t>
        </is>
      </c>
      <c r="B5699" s="1" t="n">
        <v>44911.72387731481</v>
      </c>
      <c r="C5699" s="1" t="n">
        <v>46011</v>
      </c>
      <c r="D5699" t="inlineStr">
        <is>
          <t>VÄSTRA GÖTALANDS LÄN</t>
        </is>
      </c>
      <c r="E5699" t="inlineStr">
        <is>
          <t>TIDAHOLM</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11022-2025</t>
        </is>
      </c>
      <c r="B5700" s="1" t="n">
        <v>45723.46748842593</v>
      </c>
      <c r="C5700" s="1" t="n">
        <v>46011</v>
      </c>
      <c r="D5700" t="inlineStr">
        <is>
          <t>VÄSTRA GÖTALANDS LÄN</t>
        </is>
      </c>
      <c r="E5700" t="inlineStr">
        <is>
          <t>BORÅS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10541-2025</t>
        </is>
      </c>
      <c r="B5701" s="1" t="n">
        <v>45721.48103009259</v>
      </c>
      <c r="C5701" s="1" t="n">
        <v>46011</v>
      </c>
      <c r="D5701" t="inlineStr">
        <is>
          <t>VÄSTRA GÖTALANDS LÄN</t>
        </is>
      </c>
      <c r="E5701" t="inlineStr">
        <is>
          <t>ALINGSÅS</t>
        </is>
      </c>
      <c r="F5701" t="inlineStr">
        <is>
          <t>Kyrkan</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9851-2025</t>
        </is>
      </c>
      <c r="B5702" s="1" t="n">
        <v>45716</v>
      </c>
      <c r="C5702" s="1" t="n">
        <v>46011</v>
      </c>
      <c r="D5702" t="inlineStr">
        <is>
          <t>VÄSTRA GÖTALANDS LÄN</t>
        </is>
      </c>
      <c r="E5702" t="inlineStr">
        <is>
          <t>ALINGSÅS</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43013-2025</t>
        </is>
      </c>
      <c r="B5703" s="1" t="n">
        <v>45909.49075231481</v>
      </c>
      <c r="C5703" s="1" t="n">
        <v>46011</v>
      </c>
      <c r="D5703" t="inlineStr">
        <is>
          <t>VÄSTRA GÖTALANDS LÄN</t>
        </is>
      </c>
      <c r="E5703" t="inlineStr">
        <is>
          <t>TIBRO</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43262-2025</t>
        </is>
      </c>
      <c r="B5704" s="1" t="n">
        <v>45910.56927083333</v>
      </c>
      <c r="C5704" s="1" t="n">
        <v>46011</v>
      </c>
      <c r="D5704" t="inlineStr">
        <is>
          <t>VÄSTRA GÖTALANDS LÄN</t>
        </is>
      </c>
      <c r="E5704" t="inlineStr">
        <is>
          <t>ALINGSÅS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14922-2025</t>
        </is>
      </c>
      <c r="B5705" s="1" t="n">
        <v>45743.548125</v>
      </c>
      <c r="C5705" s="1" t="n">
        <v>46011</v>
      </c>
      <c r="D5705" t="inlineStr">
        <is>
          <t>VÄSTRA GÖTALANDS LÄN</t>
        </is>
      </c>
      <c r="E5705" t="inlineStr">
        <is>
          <t>SVENLJUNGA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14952-2025</t>
        </is>
      </c>
      <c r="B5706" s="1" t="n">
        <v>45743.58193287037</v>
      </c>
      <c r="C5706" s="1" t="n">
        <v>46011</v>
      </c>
      <c r="D5706" t="inlineStr">
        <is>
          <t>VÄSTRA GÖTALANDS LÄN</t>
        </is>
      </c>
      <c r="E5706" t="inlineStr">
        <is>
          <t>ULRICEHAMN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11368-2025</t>
        </is>
      </c>
      <c r="B5707" s="1" t="n">
        <v>45726.54803240741</v>
      </c>
      <c r="C5707" s="1" t="n">
        <v>46011</v>
      </c>
      <c r="D5707" t="inlineStr">
        <is>
          <t>VÄSTRA GÖTALANDS LÄN</t>
        </is>
      </c>
      <c r="E5707" t="inlineStr">
        <is>
          <t>SVENLJUNGA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9643-2025</t>
        </is>
      </c>
      <c r="B5708" s="1" t="n">
        <v>45715.84982638889</v>
      </c>
      <c r="C5708" s="1" t="n">
        <v>46011</v>
      </c>
      <c r="D5708" t="inlineStr">
        <is>
          <t>VÄSTRA GÖTALANDS LÄN</t>
        </is>
      </c>
      <c r="E5708" t="inlineStr">
        <is>
          <t>BORÅS</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11221-2025</t>
        </is>
      </c>
      <c r="B5709" s="1" t="n">
        <v>45726.34305555555</v>
      </c>
      <c r="C5709" s="1" t="n">
        <v>46011</v>
      </c>
      <c r="D5709" t="inlineStr">
        <is>
          <t>VÄSTRA GÖTALANDS LÄN</t>
        </is>
      </c>
      <c r="E5709" t="inlineStr">
        <is>
          <t>SVENLJUNGA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42988-2025</t>
        </is>
      </c>
      <c r="B5710" s="1" t="n">
        <v>45909.44909722222</v>
      </c>
      <c r="C5710" s="1" t="n">
        <v>46011</v>
      </c>
      <c r="D5710" t="inlineStr">
        <is>
          <t>VÄSTRA GÖTALANDS LÄN</t>
        </is>
      </c>
      <c r="E5710" t="inlineStr">
        <is>
          <t>BORÅS</t>
        </is>
      </c>
      <c r="F5710" t="inlineStr">
        <is>
          <t>Sveaskog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12966-2025</t>
        </is>
      </c>
      <c r="B5711" s="1" t="n">
        <v>45734.43109953704</v>
      </c>
      <c r="C5711" s="1" t="n">
        <v>46011</v>
      </c>
      <c r="D5711" t="inlineStr">
        <is>
          <t>VÄSTRA GÖTALANDS LÄN</t>
        </is>
      </c>
      <c r="E5711" t="inlineStr">
        <is>
          <t>BORÅS</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14379-2025</t>
        </is>
      </c>
      <c r="B5712" s="1" t="n">
        <v>45741</v>
      </c>
      <c r="C5712" s="1" t="n">
        <v>46011</v>
      </c>
      <c r="D5712" t="inlineStr">
        <is>
          <t>VÄSTRA GÖTALANDS LÄN</t>
        </is>
      </c>
      <c r="E5712" t="inlineStr">
        <is>
          <t>BORÅS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9890-2025</t>
        </is>
      </c>
      <c r="B5713" s="1" t="n">
        <v>45716.70203703704</v>
      </c>
      <c r="C5713" s="1" t="n">
        <v>46011</v>
      </c>
      <c r="D5713" t="inlineStr">
        <is>
          <t>VÄSTRA GÖTALANDS LÄN</t>
        </is>
      </c>
      <c r="E5713" t="inlineStr">
        <is>
          <t>MARK</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11513-2025</t>
        </is>
      </c>
      <c r="B5714" s="1" t="n">
        <v>45726.86369212963</v>
      </c>
      <c r="C5714" s="1" t="n">
        <v>46011</v>
      </c>
      <c r="D5714" t="inlineStr">
        <is>
          <t>VÄSTRA GÖTALANDS LÄN</t>
        </is>
      </c>
      <c r="E5714" t="inlineStr">
        <is>
          <t>ULRICEHAMN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12438-2025</t>
        </is>
      </c>
      <c r="B5715" s="1" t="n">
        <v>45730.47032407407</v>
      </c>
      <c r="C5715" s="1" t="n">
        <v>46011</v>
      </c>
      <c r="D5715" t="inlineStr">
        <is>
          <t>VÄSTRA GÖTALANDS LÄN</t>
        </is>
      </c>
      <c r="E5715" t="inlineStr">
        <is>
          <t>ULRICEHAMN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12484-2025</t>
        </is>
      </c>
      <c r="B5716" s="1" t="n">
        <v>45730.58797453704</v>
      </c>
      <c r="C5716" s="1" t="n">
        <v>46011</v>
      </c>
      <c r="D5716" t="inlineStr">
        <is>
          <t>VÄSTRA GÖTALANDS LÄN</t>
        </is>
      </c>
      <c r="E5716" t="inlineStr">
        <is>
          <t>BORÅS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11207-2025</t>
        </is>
      </c>
      <c r="B5717" s="1" t="n">
        <v>45726.32260416666</v>
      </c>
      <c r="C5717" s="1" t="n">
        <v>46011</v>
      </c>
      <c r="D5717" t="inlineStr">
        <is>
          <t>VÄSTRA GÖTALANDS LÄN</t>
        </is>
      </c>
      <c r="E5717" t="inlineStr">
        <is>
          <t>SVENLJUNGA</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9576-2025</t>
        </is>
      </c>
      <c r="B5718" s="1" t="n">
        <v>45715.62474537037</v>
      </c>
      <c r="C5718" s="1" t="n">
        <v>46011</v>
      </c>
      <c r="D5718" t="inlineStr">
        <is>
          <t>VÄSTRA GÖTALANDS LÄN</t>
        </is>
      </c>
      <c r="E5718" t="inlineStr">
        <is>
          <t>TRANEMO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12487-2025</t>
        </is>
      </c>
      <c r="B5719" s="1" t="n">
        <v>45730.59189814814</v>
      </c>
      <c r="C5719" s="1" t="n">
        <v>46011</v>
      </c>
      <c r="D5719" t="inlineStr">
        <is>
          <t>VÄSTRA GÖTALANDS LÄN</t>
        </is>
      </c>
      <c r="E5719" t="inlineStr">
        <is>
          <t>BORÅS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13933-2025</t>
        </is>
      </c>
      <c r="B5720" s="1" t="n">
        <v>45737.67600694444</v>
      </c>
      <c r="C5720" s="1" t="n">
        <v>46011</v>
      </c>
      <c r="D5720" t="inlineStr">
        <is>
          <t>VÄSTRA GÖTALANDS LÄN</t>
        </is>
      </c>
      <c r="E5720" t="inlineStr">
        <is>
          <t>SVENLJUNGA</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15023-2025</t>
        </is>
      </c>
      <c r="B5721" s="1" t="n">
        <v>45743.65465277778</v>
      </c>
      <c r="C5721" s="1" t="n">
        <v>46011</v>
      </c>
      <c r="D5721" t="inlineStr">
        <is>
          <t>VÄSTRA GÖTALANDS LÄN</t>
        </is>
      </c>
      <c r="E5721" t="inlineStr">
        <is>
          <t>MARK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43337-2025</t>
        </is>
      </c>
      <c r="B5722" s="1" t="n">
        <v>45910.73006944444</v>
      </c>
      <c r="C5722" s="1" t="n">
        <v>46011</v>
      </c>
      <c r="D5722" t="inlineStr">
        <is>
          <t>VÄSTRA GÖTALANDS LÄN</t>
        </is>
      </c>
      <c r="E5722" t="inlineStr">
        <is>
          <t>VÅRGÅRDA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30200-2025</t>
        </is>
      </c>
      <c r="B5723" s="1" t="n">
        <v>45827.35715277777</v>
      </c>
      <c r="C5723" s="1" t="n">
        <v>46011</v>
      </c>
      <c r="D5723" t="inlineStr">
        <is>
          <t>VÄSTRA GÖTALANDS LÄN</t>
        </is>
      </c>
      <c r="E5723" t="inlineStr">
        <is>
          <t>HERRLJUNGA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35199-2023</t>
        </is>
      </c>
      <c r="B5724" s="1" t="n">
        <v>45145</v>
      </c>
      <c r="C5724" s="1" t="n">
        <v>46011</v>
      </c>
      <c r="D5724" t="inlineStr">
        <is>
          <t>VÄSTRA GÖTALANDS LÄN</t>
        </is>
      </c>
      <c r="E5724" t="inlineStr">
        <is>
          <t>LERUM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43314-2025</t>
        </is>
      </c>
      <c r="B5725" s="1" t="n">
        <v>45910</v>
      </c>
      <c r="C5725" s="1" t="n">
        <v>46011</v>
      </c>
      <c r="D5725" t="inlineStr">
        <is>
          <t>VÄSTRA GÖTALANDS LÄN</t>
        </is>
      </c>
      <c r="E5725" t="inlineStr">
        <is>
          <t>VÅRGÅRDA</t>
        </is>
      </c>
      <c r="F5725" t="inlineStr">
        <is>
          <t>Allmännings- och besparingsskogar</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43435-2024</t>
        </is>
      </c>
      <c r="B5726" s="1" t="n">
        <v>45568.64648148148</v>
      </c>
      <c r="C5726" s="1" t="n">
        <v>46011</v>
      </c>
      <c r="D5726" t="inlineStr">
        <is>
          <t>VÄSTRA GÖTALANDS LÄN</t>
        </is>
      </c>
      <c r="E5726" t="inlineStr">
        <is>
          <t>ALINGSÅS</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11351-2025</t>
        </is>
      </c>
      <c r="B5727" s="1" t="n">
        <v>45726.51960648148</v>
      </c>
      <c r="C5727" s="1" t="n">
        <v>46011</v>
      </c>
      <c r="D5727" t="inlineStr">
        <is>
          <t>VÄSTRA GÖTALANDS LÄN</t>
        </is>
      </c>
      <c r="E5727" t="inlineStr">
        <is>
          <t>SVENLJUNGA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11425-2025</t>
        </is>
      </c>
      <c r="B5728" s="1" t="n">
        <v>45726.60582175926</v>
      </c>
      <c r="C5728" s="1" t="n">
        <v>46011</v>
      </c>
      <c r="D5728" t="inlineStr">
        <is>
          <t>VÄSTRA GÖTALANDS LÄN</t>
        </is>
      </c>
      <c r="E5728" t="inlineStr">
        <is>
          <t>HERRLJUNGA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11462-2025</t>
        </is>
      </c>
      <c r="B5729" s="1" t="n">
        <v>45726.65605324074</v>
      </c>
      <c r="C5729" s="1" t="n">
        <v>46011</v>
      </c>
      <c r="D5729" t="inlineStr">
        <is>
          <t>VÄSTRA GÖTALANDS LÄN</t>
        </is>
      </c>
      <c r="E5729" t="inlineStr">
        <is>
          <t>ALINGSÅS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11480-2025</t>
        </is>
      </c>
      <c r="B5730" s="1" t="n">
        <v>45726.67855324074</v>
      </c>
      <c r="C5730" s="1" t="n">
        <v>46011</v>
      </c>
      <c r="D5730" t="inlineStr">
        <is>
          <t>VÄSTRA GÖTALANDS LÄN</t>
        </is>
      </c>
      <c r="E5730" t="inlineStr">
        <is>
          <t>MARK</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14977-2025</t>
        </is>
      </c>
      <c r="B5731" s="1" t="n">
        <v>45743.59481481482</v>
      </c>
      <c r="C5731" s="1" t="n">
        <v>46011</v>
      </c>
      <c r="D5731" t="inlineStr">
        <is>
          <t>VÄSTRA GÖTALANDS LÄN</t>
        </is>
      </c>
      <c r="E5731" t="inlineStr">
        <is>
          <t>MARK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15064-2025</t>
        </is>
      </c>
      <c r="B5732" s="1" t="n">
        <v>45743.74188657408</v>
      </c>
      <c r="C5732" s="1" t="n">
        <v>46011</v>
      </c>
      <c r="D5732" t="inlineStr">
        <is>
          <t>VÄSTRA GÖTALANDS LÄN</t>
        </is>
      </c>
      <c r="E5732" t="inlineStr">
        <is>
          <t>ULRICEHAMN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42698-2024</t>
        </is>
      </c>
      <c r="B5733" s="1" t="n">
        <v>45566</v>
      </c>
      <c r="C5733" s="1" t="n">
        <v>46011</v>
      </c>
      <c r="D5733" t="inlineStr">
        <is>
          <t>VÄSTRA GÖTALANDS LÄN</t>
        </is>
      </c>
      <c r="E5733" t="inlineStr">
        <is>
          <t>VÄNERSBORG</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42724-2024</t>
        </is>
      </c>
      <c r="B5734" s="1" t="n">
        <v>45566.46574074074</v>
      </c>
      <c r="C5734" s="1" t="n">
        <v>46011</v>
      </c>
      <c r="D5734" t="inlineStr">
        <is>
          <t>VÄSTRA GÖTALANDS LÄN</t>
        </is>
      </c>
      <c r="E5734" t="inlineStr">
        <is>
          <t>KARLSBORG</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14009-2025</t>
        </is>
      </c>
      <c r="B5735" s="1" t="n">
        <v>45740.30979166667</v>
      </c>
      <c r="C5735" s="1" t="n">
        <v>46011</v>
      </c>
      <c r="D5735" t="inlineStr">
        <is>
          <t>VÄSTRA GÖTALANDS LÄN</t>
        </is>
      </c>
      <c r="E5735" t="inlineStr">
        <is>
          <t>TRANEMO</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14020-2025</t>
        </is>
      </c>
      <c r="B5736" s="1" t="n">
        <v>45740.32759259259</v>
      </c>
      <c r="C5736" s="1" t="n">
        <v>46011</v>
      </c>
      <c r="D5736" t="inlineStr">
        <is>
          <t>VÄSTRA GÖTALANDS LÄN</t>
        </is>
      </c>
      <c r="E5736" t="inlineStr">
        <is>
          <t>ULRICEHAMN</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13903-2025</t>
        </is>
      </c>
      <c r="B5737" s="1" t="n">
        <v>45737.63481481482</v>
      </c>
      <c r="C5737" s="1" t="n">
        <v>46011</v>
      </c>
      <c r="D5737" t="inlineStr">
        <is>
          <t>VÄSTRA GÖTALANDS LÄN</t>
        </is>
      </c>
      <c r="E5737" t="inlineStr">
        <is>
          <t>ALE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42919-2025</t>
        </is>
      </c>
      <c r="B5738" s="1" t="n">
        <v>45908.87262731481</v>
      </c>
      <c r="C5738" s="1" t="n">
        <v>46011</v>
      </c>
      <c r="D5738" t="inlineStr">
        <is>
          <t>VÄSTRA GÖTALANDS LÄN</t>
        </is>
      </c>
      <c r="E5738" t="inlineStr">
        <is>
          <t>VARA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42926-2025</t>
        </is>
      </c>
      <c r="B5739" s="1" t="n">
        <v>45909.17378472222</v>
      </c>
      <c r="C5739" s="1" t="n">
        <v>46011</v>
      </c>
      <c r="D5739" t="inlineStr">
        <is>
          <t>VÄSTRA GÖTALANDS LÄN</t>
        </is>
      </c>
      <c r="E5739" t="inlineStr">
        <is>
          <t>TRANEMO</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402-2025</t>
        </is>
      </c>
      <c r="B5740" s="1" t="n">
        <v>45663.58502314815</v>
      </c>
      <c r="C5740" s="1" t="n">
        <v>46011</v>
      </c>
      <c r="D5740" t="inlineStr">
        <is>
          <t>VÄSTRA GÖTALANDS LÄN</t>
        </is>
      </c>
      <c r="E5740" t="inlineStr">
        <is>
          <t>BENGTSFORS</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403-2025</t>
        </is>
      </c>
      <c r="B5741" s="1" t="n">
        <v>45663.59096064815</v>
      </c>
      <c r="C5741" s="1" t="n">
        <v>46011</v>
      </c>
      <c r="D5741" t="inlineStr">
        <is>
          <t>VÄSTRA GÖTALANDS LÄN</t>
        </is>
      </c>
      <c r="E5741" t="inlineStr">
        <is>
          <t>BENGTSFORS</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42752-2024</t>
        </is>
      </c>
      <c r="B5742" s="1" t="n">
        <v>45566.49165509259</v>
      </c>
      <c r="C5742" s="1" t="n">
        <v>46011</v>
      </c>
      <c r="D5742" t="inlineStr">
        <is>
          <t>VÄSTRA GÖTALANDS LÄN</t>
        </is>
      </c>
      <c r="E5742" t="inlineStr">
        <is>
          <t>SKARA</t>
        </is>
      </c>
      <c r="F5742" t="inlineStr">
        <is>
          <t>Sveaskog</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6690-2021</t>
        </is>
      </c>
      <c r="B5743" s="1" t="n">
        <v>44236</v>
      </c>
      <c r="C5743" s="1" t="n">
        <v>46011</v>
      </c>
      <c r="D5743" t="inlineStr">
        <is>
          <t>VÄSTRA GÖTALANDS LÄN</t>
        </is>
      </c>
      <c r="E5743" t="inlineStr">
        <is>
          <t>DALS-ED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43086-2025</t>
        </is>
      </c>
      <c r="B5744" s="1" t="n">
        <v>45909.61884259259</v>
      </c>
      <c r="C5744" s="1" t="n">
        <v>46011</v>
      </c>
      <c r="D5744" t="inlineStr">
        <is>
          <t>VÄSTRA GÖTALANDS LÄN</t>
        </is>
      </c>
      <c r="E5744" t="inlineStr">
        <is>
          <t>DALS-ED</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43090-2025</t>
        </is>
      </c>
      <c r="B5745" s="1" t="n">
        <v>45909.62460648148</v>
      </c>
      <c r="C5745" s="1" t="n">
        <v>46011</v>
      </c>
      <c r="D5745" t="inlineStr">
        <is>
          <t>VÄSTRA GÖTALANDS LÄN</t>
        </is>
      </c>
      <c r="E5745" t="inlineStr">
        <is>
          <t>MARIESTAD</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4838-2022</t>
        </is>
      </c>
      <c r="B5746" s="1" t="n">
        <v>44592</v>
      </c>
      <c r="C5746" s="1" t="n">
        <v>46011</v>
      </c>
      <c r="D5746" t="inlineStr">
        <is>
          <t>VÄSTRA GÖTALANDS LÄN</t>
        </is>
      </c>
      <c r="E5746" t="inlineStr">
        <is>
          <t>FÄRGELANDA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43096-2025</t>
        </is>
      </c>
      <c r="B5747" s="1" t="n">
        <v>45909.62775462963</v>
      </c>
      <c r="C5747" s="1" t="n">
        <v>46011</v>
      </c>
      <c r="D5747" t="inlineStr">
        <is>
          <t>VÄSTRA GÖTALANDS LÄN</t>
        </is>
      </c>
      <c r="E5747" t="inlineStr">
        <is>
          <t>MARIESTAD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42917-2025</t>
        </is>
      </c>
      <c r="B5748" s="1" t="n">
        <v>45908.83663194445</v>
      </c>
      <c r="C5748" s="1" t="n">
        <v>46011</v>
      </c>
      <c r="D5748" t="inlineStr">
        <is>
          <t>VÄSTRA GÖTALANDS LÄN</t>
        </is>
      </c>
      <c r="E5748" t="inlineStr">
        <is>
          <t>ULRICEHAMN</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43098-2025</t>
        </is>
      </c>
      <c r="B5749" s="1" t="n">
        <v>45909.62886574074</v>
      </c>
      <c r="C5749" s="1" t="n">
        <v>46011</v>
      </c>
      <c r="D5749" t="inlineStr">
        <is>
          <t>VÄSTRA GÖTALANDS LÄN</t>
        </is>
      </c>
      <c r="E5749" t="inlineStr">
        <is>
          <t>MARIESTAD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43189-2025</t>
        </is>
      </c>
      <c r="B5750" s="1" t="n">
        <v>45910.41298611111</v>
      </c>
      <c r="C5750" s="1" t="n">
        <v>46011</v>
      </c>
      <c r="D5750" t="inlineStr">
        <is>
          <t>VÄSTRA GÖTALANDS LÄN</t>
        </is>
      </c>
      <c r="E5750" t="inlineStr">
        <is>
          <t>GÖTENE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43216-2025</t>
        </is>
      </c>
      <c r="B5751" s="1" t="n">
        <v>45910.46533564815</v>
      </c>
      <c r="C5751" s="1" t="n">
        <v>46011</v>
      </c>
      <c r="D5751" t="inlineStr">
        <is>
          <t>VÄSTRA GÖTALANDS LÄN</t>
        </is>
      </c>
      <c r="E5751" t="inlineStr">
        <is>
          <t>VARA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10544-2021</t>
        </is>
      </c>
      <c r="B5752" s="1" t="n">
        <v>44258</v>
      </c>
      <c r="C5752" s="1" t="n">
        <v>46011</v>
      </c>
      <c r="D5752" t="inlineStr">
        <is>
          <t>VÄSTRA GÖTALANDS LÄN</t>
        </is>
      </c>
      <c r="E5752" t="inlineStr">
        <is>
          <t>BENGTSFORS</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10581-2021</t>
        </is>
      </c>
      <c r="B5753" s="1" t="n">
        <v>44258</v>
      </c>
      <c r="C5753" s="1" t="n">
        <v>46011</v>
      </c>
      <c r="D5753" t="inlineStr">
        <is>
          <t>VÄSTRA GÖTALANDS LÄN</t>
        </is>
      </c>
      <c r="E5753" t="inlineStr">
        <is>
          <t>TRANEMO</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17666-2022</t>
        </is>
      </c>
      <c r="B5754" s="1" t="n">
        <v>44680.52545138889</v>
      </c>
      <c r="C5754" s="1" t="n">
        <v>46011</v>
      </c>
      <c r="D5754" t="inlineStr">
        <is>
          <t>VÄSTRA GÖTALANDS LÄN</t>
        </is>
      </c>
      <c r="E5754" t="inlineStr">
        <is>
          <t>GRÄSTORP</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30141-2025</t>
        </is>
      </c>
      <c r="B5755" s="1" t="n">
        <v>45826.91336805555</v>
      </c>
      <c r="C5755" s="1" t="n">
        <v>46011</v>
      </c>
      <c r="D5755" t="inlineStr">
        <is>
          <t>VÄSTRA GÖTALANDS LÄN</t>
        </is>
      </c>
      <c r="E5755" t="inlineStr">
        <is>
          <t>FÄRGELANDA</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30143-2025</t>
        </is>
      </c>
      <c r="B5756" s="1" t="n">
        <v>45826.92831018518</v>
      </c>
      <c r="C5756" s="1" t="n">
        <v>46011</v>
      </c>
      <c r="D5756" t="inlineStr">
        <is>
          <t>VÄSTRA GÖTALANDS LÄN</t>
        </is>
      </c>
      <c r="E5756" t="inlineStr">
        <is>
          <t>FÄRGELANDA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37526-2024</t>
        </is>
      </c>
      <c r="B5757" s="1" t="n">
        <v>45541.39973379629</v>
      </c>
      <c r="C5757" s="1" t="n">
        <v>46011</v>
      </c>
      <c r="D5757" t="inlineStr">
        <is>
          <t>VÄSTRA GÖTALANDS LÄN</t>
        </is>
      </c>
      <c r="E5757" t="inlineStr">
        <is>
          <t>DALS-ED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43223-2025</t>
        </is>
      </c>
      <c r="B5758" s="1" t="n">
        <v>45910.48459490741</v>
      </c>
      <c r="C5758" s="1" t="n">
        <v>46011</v>
      </c>
      <c r="D5758" t="inlineStr">
        <is>
          <t>VÄSTRA GÖTALANDS LÄN</t>
        </is>
      </c>
      <c r="E5758" t="inlineStr">
        <is>
          <t>MELLERUD</t>
        </is>
      </c>
      <c r="G5758" t="n">
        <v>8.9</v>
      </c>
      <c r="H5758" t="n">
        <v>0</v>
      </c>
      <c r="I5758" t="n">
        <v>0</v>
      </c>
      <c r="J5758" t="n">
        <v>0</v>
      </c>
      <c r="K5758" t="n">
        <v>0</v>
      </c>
      <c r="L5758" t="n">
        <v>0</v>
      </c>
      <c r="M5758" t="n">
        <v>0</v>
      </c>
      <c r="N5758" t="n">
        <v>0</v>
      </c>
      <c r="O5758" t="n">
        <v>0</v>
      </c>
      <c r="P5758" t="n">
        <v>0</v>
      </c>
      <c r="Q5758" t="n">
        <v>0</v>
      </c>
      <c r="R5758" s="2" t="inlineStr"/>
    </row>
    <row r="5759" ht="15" customHeight="1">
      <c r="A5759" t="inlineStr">
        <is>
          <t>A 13100-2025</t>
        </is>
      </c>
      <c r="B5759" s="1" t="n">
        <v>45734.67028935185</v>
      </c>
      <c r="C5759" s="1" t="n">
        <v>46011</v>
      </c>
      <c r="D5759" t="inlineStr">
        <is>
          <t>VÄSTRA GÖTALANDS LÄN</t>
        </is>
      </c>
      <c r="E5759" t="inlineStr">
        <is>
          <t>LERUM</t>
        </is>
      </c>
      <c r="G5759" t="n">
        <v>8.800000000000001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14688-2025</t>
        </is>
      </c>
      <c r="B5760" s="1" t="n">
        <v>45742.57935185185</v>
      </c>
      <c r="C5760" s="1" t="n">
        <v>46011</v>
      </c>
      <c r="D5760" t="inlineStr">
        <is>
          <t>VÄSTRA GÖTALANDS LÄN</t>
        </is>
      </c>
      <c r="E5760" t="inlineStr">
        <is>
          <t>MARK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11459-2025</t>
        </is>
      </c>
      <c r="B5761" s="1" t="n">
        <v>45726</v>
      </c>
      <c r="C5761" s="1" t="n">
        <v>46011</v>
      </c>
      <c r="D5761" t="inlineStr">
        <is>
          <t>VÄSTRA GÖTALANDS LÄN</t>
        </is>
      </c>
      <c r="E5761" t="inlineStr">
        <is>
          <t>ALINGSÅS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11629-2025</t>
        </is>
      </c>
      <c r="B5762" s="1" t="n">
        <v>45727.46181712963</v>
      </c>
      <c r="C5762" s="1" t="n">
        <v>46011</v>
      </c>
      <c r="D5762" t="inlineStr">
        <is>
          <t>VÄSTRA GÖTALANDS LÄN</t>
        </is>
      </c>
      <c r="E5762" t="inlineStr">
        <is>
          <t>ULRICEHAMN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3756-2023</t>
        </is>
      </c>
      <c r="B5763" s="1" t="n">
        <v>44951.47405092593</v>
      </c>
      <c r="C5763" s="1" t="n">
        <v>46011</v>
      </c>
      <c r="D5763" t="inlineStr">
        <is>
          <t>VÄSTRA GÖTALANDS LÄN</t>
        </is>
      </c>
      <c r="E5763" t="inlineStr">
        <is>
          <t>VÅRGÅRDA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39233-2024</t>
        </is>
      </c>
      <c r="B5764" s="1" t="n">
        <v>45550.69572916667</v>
      </c>
      <c r="C5764" s="1" t="n">
        <v>46011</v>
      </c>
      <c r="D5764" t="inlineStr">
        <is>
          <t>VÄSTRA GÖTALANDS LÄN</t>
        </is>
      </c>
      <c r="E5764" t="inlineStr">
        <is>
          <t>FALKÖPING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30404-2025</t>
        </is>
      </c>
      <c r="B5765" s="1" t="n">
        <v>45827.59276620371</v>
      </c>
      <c r="C5765" s="1" t="n">
        <v>46011</v>
      </c>
      <c r="D5765" t="inlineStr">
        <is>
          <t>VÄSTRA GÖTALANDS LÄN</t>
        </is>
      </c>
      <c r="E5765" t="inlineStr">
        <is>
          <t>MARIESTAD</t>
        </is>
      </c>
      <c r="F5765" t="inlineStr">
        <is>
          <t>Sveaskog</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30413-2025</t>
        </is>
      </c>
      <c r="B5766" s="1" t="n">
        <v>45827.60287037037</v>
      </c>
      <c r="C5766" s="1" t="n">
        <v>46011</v>
      </c>
      <c r="D5766" t="inlineStr">
        <is>
          <t>VÄSTRA GÖTALANDS LÄN</t>
        </is>
      </c>
      <c r="E5766" t="inlineStr">
        <is>
          <t>MARIESTAD</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13596-2025</t>
        </is>
      </c>
      <c r="B5767" s="1" t="n">
        <v>45736.60425925926</v>
      </c>
      <c r="C5767" s="1" t="n">
        <v>46011</v>
      </c>
      <c r="D5767" t="inlineStr">
        <is>
          <t>VÄSTRA GÖTALANDS LÄN</t>
        </is>
      </c>
      <c r="E5767" t="inlineStr">
        <is>
          <t>HERRLJUNGA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14381-2025</t>
        </is>
      </c>
      <c r="B5768" s="1" t="n">
        <v>45741</v>
      </c>
      <c r="C5768" s="1" t="n">
        <v>46011</v>
      </c>
      <c r="D5768" t="inlineStr">
        <is>
          <t>VÄSTRA GÖTALANDS LÄN</t>
        </is>
      </c>
      <c r="E5768" t="inlineStr">
        <is>
          <t>BORÅS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30220-2025</t>
        </is>
      </c>
      <c r="B5769" s="1" t="n">
        <v>45827.37181712963</v>
      </c>
      <c r="C5769" s="1" t="n">
        <v>46011</v>
      </c>
      <c r="D5769" t="inlineStr">
        <is>
          <t>VÄSTRA GÖTALANDS LÄN</t>
        </is>
      </c>
      <c r="E5769" t="inlineStr">
        <is>
          <t>HERRLJUNGA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1315-2023</t>
        </is>
      </c>
      <c r="B5770" s="1" t="n">
        <v>44936</v>
      </c>
      <c r="C5770" s="1" t="n">
        <v>46011</v>
      </c>
      <c r="D5770" t="inlineStr">
        <is>
          <t>VÄSTRA GÖTALANDS LÄN</t>
        </is>
      </c>
      <c r="E5770" t="inlineStr">
        <is>
          <t>MARIESTAD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30228-2025</t>
        </is>
      </c>
      <c r="B5771" s="1" t="n">
        <v>45827</v>
      </c>
      <c r="C5771" s="1" t="n">
        <v>46011</v>
      </c>
      <c r="D5771" t="inlineStr">
        <is>
          <t>VÄSTRA GÖTALANDS LÄN</t>
        </is>
      </c>
      <c r="E5771" t="inlineStr">
        <is>
          <t>SVENLJUNGA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1103-2025</t>
        </is>
      </c>
      <c r="B5772" s="1" t="n">
        <v>45666</v>
      </c>
      <c r="C5772" s="1" t="n">
        <v>46011</v>
      </c>
      <c r="D5772" t="inlineStr">
        <is>
          <t>VÄSTRA GÖTALANDS LÄN</t>
        </is>
      </c>
      <c r="E5772" t="inlineStr">
        <is>
          <t>TJÖRN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30312-2025</t>
        </is>
      </c>
      <c r="B5773" s="1" t="n">
        <v>45827</v>
      </c>
      <c r="C5773" s="1" t="n">
        <v>46011</v>
      </c>
      <c r="D5773" t="inlineStr">
        <is>
          <t>VÄSTRA GÖTALANDS LÄN</t>
        </is>
      </c>
      <c r="E5773" t="inlineStr">
        <is>
          <t>BORÅS</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15112-2022</t>
        </is>
      </c>
      <c r="B5774" s="1" t="n">
        <v>44658</v>
      </c>
      <c r="C5774" s="1" t="n">
        <v>46011</v>
      </c>
      <c r="D5774" t="inlineStr">
        <is>
          <t>VÄSTRA GÖTALANDS LÄN</t>
        </is>
      </c>
      <c r="E5774" t="inlineStr">
        <is>
          <t>BOLLEBYGD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11280-2022</t>
        </is>
      </c>
      <c r="B5775" s="1" t="n">
        <v>44629</v>
      </c>
      <c r="C5775" s="1" t="n">
        <v>46011</v>
      </c>
      <c r="D5775" t="inlineStr">
        <is>
          <t>VÄSTRA GÖTALANDS LÄN</t>
        </is>
      </c>
      <c r="E5775" t="inlineStr">
        <is>
          <t>FALKÖPING</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57733-2023</t>
        </is>
      </c>
      <c r="B5776" s="1" t="n">
        <v>45246.71253472222</v>
      </c>
      <c r="C5776" s="1" t="n">
        <v>46011</v>
      </c>
      <c r="D5776" t="inlineStr">
        <is>
          <t>VÄSTRA GÖTALANDS LÄN</t>
        </is>
      </c>
      <c r="E5776" t="inlineStr">
        <is>
          <t>TROLLHÄTTAN</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2992-2025</t>
        </is>
      </c>
      <c r="B5777" s="1" t="n">
        <v>45678.53453703703</v>
      </c>
      <c r="C5777" s="1" t="n">
        <v>46011</v>
      </c>
      <c r="D5777" t="inlineStr">
        <is>
          <t>VÄSTRA GÖTALANDS LÄN</t>
        </is>
      </c>
      <c r="E5777" t="inlineStr">
        <is>
          <t>BORÅS</t>
        </is>
      </c>
      <c r="F5777" t="inlineStr">
        <is>
          <t>Sveaskog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13927-2025</t>
        </is>
      </c>
      <c r="B5778" s="1" t="n">
        <v>45737.66302083333</v>
      </c>
      <c r="C5778" s="1" t="n">
        <v>46011</v>
      </c>
      <c r="D5778" t="inlineStr">
        <is>
          <t>VÄSTRA GÖTALANDS LÄN</t>
        </is>
      </c>
      <c r="E5778" t="inlineStr">
        <is>
          <t>MARK</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11759-2025</t>
        </is>
      </c>
      <c r="B5779" s="1" t="n">
        <v>45727.64462962963</v>
      </c>
      <c r="C5779" s="1" t="n">
        <v>46011</v>
      </c>
      <c r="D5779" t="inlineStr">
        <is>
          <t>VÄSTRA GÖTALANDS LÄN</t>
        </is>
      </c>
      <c r="E5779" t="inlineStr">
        <is>
          <t>BORÅS</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12472-2025</t>
        </is>
      </c>
      <c r="B5780" s="1" t="n">
        <v>45730.55692129629</v>
      </c>
      <c r="C5780" s="1" t="n">
        <v>46011</v>
      </c>
      <c r="D5780" t="inlineStr">
        <is>
          <t>VÄSTRA GÖTALANDS LÄN</t>
        </is>
      </c>
      <c r="E5780" t="inlineStr">
        <is>
          <t>SVENLJUNGA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10879-2025</t>
        </is>
      </c>
      <c r="B5781" s="1" t="n">
        <v>45722.64840277778</v>
      </c>
      <c r="C5781" s="1" t="n">
        <v>46011</v>
      </c>
      <c r="D5781" t="inlineStr">
        <is>
          <t>VÄSTRA GÖTALANDS LÄN</t>
        </is>
      </c>
      <c r="E5781" t="inlineStr">
        <is>
          <t>TRANEMO</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43118-2025</t>
        </is>
      </c>
      <c r="B5782" s="1" t="n">
        <v>45909.67068287037</v>
      </c>
      <c r="C5782" s="1" t="n">
        <v>46011</v>
      </c>
      <c r="D5782" t="inlineStr">
        <is>
          <t>VÄSTRA GÖTALANDS LÄN</t>
        </is>
      </c>
      <c r="E5782" t="inlineStr">
        <is>
          <t>SVENLJUNGA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10918-2025</t>
        </is>
      </c>
      <c r="B5783" s="1" t="n">
        <v>45722.77650462963</v>
      </c>
      <c r="C5783" s="1" t="n">
        <v>46011</v>
      </c>
      <c r="D5783" t="inlineStr">
        <is>
          <t>VÄSTRA GÖTALANDS LÄN</t>
        </is>
      </c>
      <c r="E5783" t="inlineStr">
        <is>
          <t>BOLLEBYGD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10924-2025</t>
        </is>
      </c>
      <c r="B5784" s="1" t="n">
        <v>45722.83402777778</v>
      </c>
      <c r="C5784" s="1" t="n">
        <v>46011</v>
      </c>
      <c r="D5784" t="inlineStr">
        <is>
          <t>VÄSTRA GÖTALANDS LÄN</t>
        </is>
      </c>
      <c r="E5784" t="inlineStr">
        <is>
          <t>VÅRGÅRDA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11458-2025</t>
        </is>
      </c>
      <c r="B5785" s="1" t="n">
        <v>45726</v>
      </c>
      <c r="C5785" s="1" t="n">
        <v>46011</v>
      </c>
      <c r="D5785" t="inlineStr">
        <is>
          <t>VÄSTRA GÖTALANDS LÄN</t>
        </is>
      </c>
      <c r="E5785" t="inlineStr">
        <is>
          <t>ALINGSÅS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11512-2025</t>
        </is>
      </c>
      <c r="B5786" s="1" t="n">
        <v>45726.84574074074</v>
      </c>
      <c r="C5786" s="1" t="n">
        <v>46011</v>
      </c>
      <c r="D5786" t="inlineStr">
        <is>
          <t>VÄSTRA GÖTALANDS LÄN</t>
        </is>
      </c>
      <c r="E5786" t="inlineStr">
        <is>
          <t>ULRICEHAMN</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11640-2025</t>
        </is>
      </c>
      <c r="B5787" s="1" t="n">
        <v>45727.47200231482</v>
      </c>
      <c r="C5787" s="1" t="n">
        <v>46011</v>
      </c>
      <c r="D5787" t="inlineStr">
        <is>
          <t>VÄSTRA GÖTALANDS LÄN</t>
        </is>
      </c>
      <c r="E5787" t="inlineStr">
        <is>
          <t>ULRICEHAMN</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11886-2025</t>
        </is>
      </c>
      <c r="B5788" s="1" t="n">
        <v>45728.45510416666</v>
      </c>
      <c r="C5788" s="1" t="n">
        <v>46011</v>
      </c>
      <c r="D5788" t="inlineStr">
        <is>
          <t>VÄSTRA GÖTALANDS LÄN</t>
        </is>
      </c>
      <c r="E5788" t="inlineStr">
        <is>
          <t>HERRLJUNGA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11889-2025</t>
        </is>
      </c>
      <c r="B5789" s="1" t="n">
        <v>45728.45725694444</v>
      </c>
      <c r="C5789" s="1" t="n">
        <v>46011</v>
      </c>
      <c r="D5789" t="inlineStr">
        <is>
          <t>VÄSTRA GÖTALANDS LÄN</t>
        </is>
      </c>
      <c r="E5789" t="inlineStr">
        <is>
          <t>HERRLJUNGA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9491-2025</t>
        </is>
      </c>
      <c r="B5790" s="1" t="n">
        <v>45715.4965162037</v>
      </c>
      <c r="C5790" s="1" t="n">
        <v>46011</v>
      </c>
      <c r="D5790" t="inlineStr">
        <is>
          <t>VÄSTRA GÖTALANDS LÄN</t>
        </is>
      </c>
      <c r="E5790" t="inlineStr">
        <is>
          <t>HÄRRYDA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9471-2025</t>
        </is>
      </c>
      <c r="B5791" s="1" t="n">
        <v>45715.47013888889</v>
      </c>
      <c r="C5791" s="1" t="n">
        <v>46011</v>
      </c>
      <c r="D5791" t="inlineStr">
        <is>
          <t>VÄSTRA GÖTALANDS LÄN</t>
        </is>
      </c>
      <c r="E5791" t="inlineStr">
        <is>
          <t>BOLLEBYGD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13948-2025</t>
        </is>
      </c>
      <c r="B5792" s="1" t="n">
        <v>45737.73006944444</v>
      </c>
      <c r="C5792" s="1" t="n">
        <v>46011</v>
      </c>
      <c r="D5792" t="inlineStr">
        <is>
          <t>VÄSTRA GÖTALANDS LÄN</t>
        </is>
      </c>
      <c r="E5792" t="inlineStr">
        <is>
          <t>SVENLJUNGA</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13950-2025</t>
        </is>
      </c>
      <c r="B5793" s="1" t="n">
        <v>45737.76314814815</v>
      </c>
      <c r="C5793" s="1" t="n">
        <v>46011</v>
      </c>
      <c r="D5793" t="inlineStr">
        <is>
          <t>VÄSTRA GÖTALANDS LÄN</t>
        </is>
      </c>
      <c r="E5793" t="inlineStr">
        <is>
          <t>TRANEMO</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13986-2025</t>
        </is>
      </c>
      <c r="B5794" s="1" t="n">
        <v>45739.37567129629</v>
      </c>
      <c r="C5794" s="1" t="n">
        <v>46011</v>
      </c>
      <c r="D5794" t="inlineStr">
        <is>
          <t>VÄSTRA GÖTALANDS LÄN</t>
        </is>
      </c>
      <c r="E5794" t="inlineStr">
        <is>
          <t>SVENLJUNGA</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42920-2025</t>
        </is>
      </c>
      <c r="B5795" s="1" t="n">
        <v>45908.87545138889</v>
      </c>
      <c r="C5795" s="1" t="n">
        <v>46011</v>
      </c>
      <c r="D5795" t="inlineStr">
        <is>
          <t>VÄSTRA GÖTALANDS LÄN</t>
        </is>
      </c>
      <c r="E5795" t="inlineStr">
        <is>
          <t>VARA</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47167-2024</t>
        </is>
      </c>
      <c r="B5796" s="1" t="n">
        <v>45586</v>
      </c>
      <c r="C5796" s="1" t="n">
        <v>46011</v>
      </c>
      <c r="D5796" t="inlineStr">
        <is>
          <t>VÄSTRA GÖTALANDS LÄN</t>
        </is>
      </c>
      <c r="E5796" t="inlineStr">
        <is>
          <t>MELLERUD</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16710-2025</t>
        </is>
      </c>
      <c r="B5797" s="1" t="n">
        <v>45754</v>
      </c>
      <c r="C5797" s="1" t="n">
        <v>46011</v>
      </c>
      <c r="D5797" t="inlineStr">
        <is>
          <t>VÄSTRA GÖTALANDS LÄN</t>
        </is>
      </c>
      <c r="E5797" t="inlineStr">
        <is>
          <t>GULLSPÅNG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30708-2025</t>
        </is>
      </c>
      <c r="B5798" s="1" t="n">
        <v>45831.55090277778</v>
      </c>
      <c r="C5798" s="1" t="n">
        <v>46011</v>
      </c>
      <c r="D5798" t="inlineStr">
        <is>
          <t>VÄSTRA GÖTALANDS LÄN</t>
        </is>
      </c>
      <c r="E5798" t="inlineStr">
        <is>
          <t>DALS-ED</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3238-2023</t>
        </is>
      </c>
      <c r="B5799" s="1" t="n">
        <v>44946.84815972222</v>
      </c>
      <c r="C5799" s="1" t="n">
        <v>46011</v>
      </c>
      <c r="D5799" t="inlineStr">
        <is>
          <t>VÄSTRA GÖTALANDS LÄN</t>
        </is>
      </c>
      <c r="E5799" t="inlineStr">
        <is>
          <t>BOLLEBYGD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43292-2025</t>
        </is>
      </c>
      <c r="B5800" s="1" t="n">
        <v>45910.61802083333</v>
      </c>
      <c r="C5800" s="1" t="n">
        <v>46011</v>
      </c>
      <c r="D5800" t="inlineStr">
        <is>
          <t>VÄSTRA GÖTALANDS LÄN</t>
        </is>
      </c>
      <c r="E5800" t="inlineStr">
        <is>
          <t>BOLLEBYGD</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30591-2025</t>
        </is>
      </c>
      <c r="B5801" s="1" t="n">
        <v>45831.43407407407</v>
      </c>
      <c r="C5801" s="1" t="n">
        <v>46011</v>
      </c>
      <c r="D5801" t="inlineStr">
        <is>
          <t>VÄSTRA GÖTALANDS LÄN</t>
        </is>
      </c>
      <c r="E5801" t="inlineStr">
        <is>
          <t>TÖREBODA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30646-2025</t>
        </is>
      </c>
      <c r="B5802" s="1" t="n">
        <v>45831.49241898148</v>
      </c>
      <c r="C5802" s="1" t="n">
        <v>46011</v>
      </c>
      <c r="D5802" t="inlineStr">
        <is>
          <t>VÄSTRA GÖTALANDS LÄN</t>
        </is>
      </c>
      <c r="E5802" t="inlineStr">
        <is>
          <t>SVENLJUNGA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42921-2025</t>
        </is>
      </c>
      <c r="B5803" s="1" t="n">
        <v>45908.8787037037</v>
      </c>
      <c r="C5803" s="1" t="n">
        <v>46011</v>
      </c>
      <c r="D5803" t="inlineStr">
        <is>
          <t>VÄSTRA GÖTALANDS LÄN</t>
        </is>
      </c>
      <c r="E5803" t="inlineStr">
        <is>
          <t>MARK</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42927-2025</t>
        </is>
      </c>
      <c r="B5804" s="1" t="n">
        <v>45909.17881944445</v>
      </c>
      <c r="C5804" s="1" t="n">
        <v>46011</v>
      </c>
      <c r="D5804" t="inlineStr">
        <is>
          <t>VÄSTRA GÖTALANDS LÄN</t>
        </is>
      </c>
      <c r="E5804" t="inlineStr">
        <is>
          <t>TRANEMO</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42953-2025</t>
        </is>
      </c>
      <c r="B5805" s="1" t="n">
        <v>45909.35702546296</v>
      </c>
      <c r="C5805" s="1" t="n">
        <v>46011</v>
      </c>
      <c r="D5805" t="inlineStr">
        <is>
          <t>VÄSTRA GÖTALANDS LÄN</t>
        </is>
      </c>
      <c r="E5805" t="inlineStr">
        <is>
          <t>DALS-ED</t>
        </is>
      </c>
      <c r="F5805" t="inlineStr">
        <is>
          <t>Kyrkan</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30954-2025</t>
        </is>
      </c>
      <c r="B5806" s="1" t="n">
        <v>45832.43674768518</v>
      </c>
      <c r="C5806" s="1" t="n">
        <v>46011</v>
      </c>
      <c r="D5806" t="inlineStr">
        <is>
          <t>VÄSTRA GÖTALANDS LÄN</t>
        </is>
      </c>
      <c r="E5806" t="inlineStr">
        <is>
          <t>UDDEVALLA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30959-2025</t>
        </is>
      </c>
      <c r="B5807" s="1" t="n">
        <v>45832.43942129629</v>
      </c>
      <c r="C5807" s="1" t="n">
        <v>46011</v>
      </c>
      <c r="D5807" t="inlineStr">
        <is>
          <t>VÄSTRA GÖTALANDS LÄN</t>
        </is>
      </c>
      <c r="E5807" t="inlineStr">
        <is>
          <t>BORÅS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43093-2025</t>
        </is>
      </c>
      <c r="B5808" s="1" t="n">
        <v>45909.62569444445</v>
      </c>
      <c r="C5808" s="1" t="n">
        <v>46011</v>
      </c>
      <c r="D5808" t="inlineStr">
        <is>
          <t>VÄSTRA GÖTALANDS LÄN</t>
        </is>
      </c>
      <c r="E5808" t="inlineStr">
        <is>
          <t>MARIESTAD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30802-2025</t>
        </is>
      </c>
      <c r="B5809" s="1" t="n">
        <v>45831.6530787037</v>
      </c>
      <c r="C5809" s="1" t="n">
        <v>46011</v>
      </c>
      <c r="D5809" t="inlineStr">
        <is>
          <t>VÄSTRA GÖTALANDS LÄN</t>
        </is>
      </c>
      <c r="E5809" t="inlineStr">
        <is>
          <t>UDDEVALLA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43154-2025</t>
        </is>
      </c>
      <c r="B5810" s="1" t="n">
        <v>45909</v>
      </c>
      <c r="C5810" s="1" t="n">
        <v>46011</v>
      </c>
      <c r="D5810" t="inlineStr">
        <is>
          <t>VÄSTRA GÖTALANDS LÄN</t>
        </is>
      </c>
      <c r="E5810" t="inlineStr">
        <is>
          <t>MUNKEDAL</t>
        </is>
      </c>
      <c r="F5810" t="inlineStr">
        <is>
          <t>Övriga Aktiebolag</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19723-2023</t>
        </is>
      </c>
      <c r="B5811" s="1" t="n">
        <v>45051</v>
      </c>
      <c r="C5811" s="1" t="n">
        <v>46011</v>
      </c>
      <c r="D5811" t="inlineStr">
        <is>
          <t>VÄSTRA GÖTALANDS LÄN</t>
        </is>
      </c>
      <c r="E5811" t="inlineStr">
        <is>
          <t>TÖREBODA</t>
        </is>
      </c>
      <c r="F5811" t="inlineStr">
        <is>
          <t>Sveaskog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42997-2025</t>
        </is>
      </c>
      <c r="B5812" s="1" t="n">
        <v>45909.45751157407</v>
      </c>
      <c r="C5812" s="1" t="n">
        <v>46011</v>
      </c>
      <c r="D5812" t="inlineStr">
        <is>
          <t>VÄSTRA GÖTALANDS LÄN</t>
        </is>
      </c>
      <c r="E5812" t="inlineStr">
        <is>
          <t>FALKÖPING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43010-2025</t>
        </is>
      </c>
      <c r="B5813" s="1" t="n">
        <v>45909.48768518519</v>
      </c>
      <c r="C5813" s="1" t="n">
        <v>46011</v>
      </c>
      <c r="D5813" t="inlineStr">
        <is>
          <t>VÄSTRA GÖTALANDS LÄN</t>
        </is>
      </c>
      <c r="E5813" t="inlineStr">
        <is>
          <t>ULRICEHAMN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43014-2025</t>
        </is>
      </c>
      <c r="B5814" s="1" t="n">
        <v>45909.49131944445</v>
      </c>
      <c r="C5814" s="1" t="n">
        <v>46011</v>
      </c>
      <c r="D5814" t="inlineStr">
        <is>
          <t>VÄSTRA GÖTALANDS LÄN</t>
        </is>
      </c>
      <c r="E5814" t="inlineStr">
        <is>
          <t>ULRICEHAMN</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43107-2025</t>
        </is>
      </c>
      <c r="B5815" s="1" t="n">
        <v>45909.6513425926</v>
      </c>
      <c r="C5815" s="1" t="n">
        <v>46011</v>
      </c>
      <c r="D5815" t="inlineStr">
        <is>
          <t>VÄSTRA GÖTALANDS LÄN</t>
        </is>
      </c>
      <c r="E5815" t="inlineStr">
        <is>
          <t>SVENLJUNGA</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43110-2025</t>
        </is>
      </c>
      <c r="B5816" s="1" t="n">
        <v>45909.65709490741</v>
      </c>
      <c r="C5816" s="1" t="n">
        <v>46011</v>
      </c>
      <c r="D5816" t="inlineStr">
        <is>
          <t>VÄSTRA GÖTALANDS LÄN</t>
        </is>
      </c>
      <c r="E5816" t="inlineStr">
        <is>
          <t>SVENLJUNGA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43125-2025</t>
        </is>
      </c>
      <c r="B5817" s="1" t="n">
        <v>45909.72638888889</v>
      </c>
      <c r="C5817" s="1" t="n">
        <v>46011</v>
      </c>
      <c r="D5817" t="inlineStr">
        <is>
          <t>VÄSTRA GÖTALANDS LÄN</t>
        </is>
      </c>
      <c r="E5817" t="inlineStr">
        <is>
          <t>TIBRO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43151-2025</t>
        </is>
      </c>
      <c r="B5818" s="1" t="n">
        <v>45910.33892361111</v>
      </c>
      <c r="C5818" s="1" t="n">
        <v>46011</v>
      </c>
      <c r="D5818" t="inlineStr">
        <is>
          <t>VÄSTRA GÖTALANDS LÄN</t>
        </is>
      </c>
      <c r="E5818" t="inlineStr">
        <is>
          <t>LYSEKIL</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8334-2023</t>
        </is>
      </c>
      <c r="B5819" s="1" t="n">
        <v>44975</v>
      </c>
      <c r="C5819" s="1" t="n">
        <v>46011</v>
      </c>
      <c r="D5819" t="inlineStr">
        <is>
          <t>VÄSTRA GÖTALANDS LÄN</t>
        </is>
      </c>
      <c r="E5819" t="inlineStr">
        <is>
          <t>KUNGÄLV</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20210-2022</t>
        </is>
      </c>
      <c r="B5820" s="1" t="n">
        <v>44698</v>
      </c>
      <c r="C5820" s="1" t="n">
        <v>46011</v>
      </c>
      <c r="D5820" t="inlineStr">
        <is>
          <t>VÄSTRA GÖTALANDS LÄN</t>
        </is>
      </c>
      <c r="E5820" t="inlineStr">
        <is>
          <t>TÖREBODA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37149-2023</t>
        </is>
      </c>
      <c r="B5821" s="1" t="n">
        <v>45155</v>
      </c>
      <c r="C5821" s="1" t="n">
        <v>46011</v>
      </c>
      <c r="D5821" t="inlineStr">
        <is>
          <t>VÄSTRA GÖTALANDS LÄN</t>
        </is>
      </c>
      <c r="E5821" t="inlineStr">
        <is>
          <t>LYSEKIL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37201-2023</t>
        </is>
      </c>
      <c r="B5822" s="1" t="n">
        <v>45155</v>
      </c>
      <c r="C5822" s="1" t="n">
        <v>46011</v>
      </c>
      <c r="D5822" t="inlineStr">
        <is>
          <t>VÄSTRA GÖTALANDS LÄN</t>
        </is>
      </c>
      <c r="E5822" t="inlineStr">
        <is>
          <t>HÄRRYDA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10587-2025</t>
        </is>
      </c>
      <c r="B5823" s="1" t="n">
        <v>45721.55325231481</v>
      </c>
      <c r="C5823" s="1" t="n">
        <v>46011</v>
      </c>
      <c r="D5823" t="inlineStr">
        <is>
          <t>VÄSTRA GÖTALANDS LÄN</t>
        </is>
      </c>
      <c r="E5823" t="inlineStr">
        <is>
          <t>ALINGSÅS</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59452-2023</t>
        </is>
      </c>
      <c r="B5824" s="1" t="n">
        <v>45254.37158564815</v>
      </c>
      <c r="C5824" s="1" t="n">
        <v>46011</v>
      </c>
      <c r="D5824" t="inlineStr">
        <is>
          <t>VÄSTRA GÖTALANDS LÄN</t>
        </is>
      </c>
      <c r="E5824" t="inlineStr">
        <is>
          <t>HJO</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59472-2023</t>
        </is>
      </c>
      <c r="B5825" s="1" t="n">
        <v>45254</v>
      </c>
      <c r="C5825" s="1" t="n">
        <v>46011</v>
      </c>
      <c r="D5825" t="inlineStr">
        <is>
          <t>VÄSTRA GÖTALANDS LÄN</t>
        </is>
      </c>
      <c r="E5825" t="inlineStr">
        <is>
          <t>BOLLEBYGD</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58346-2024</t>
        </is>
      </c>
      <c r="B5826" s="1" t="n">
        <v>45632.64731481481</v>
      </c>
      <c r="C5826" s="1" t="n">
        <v>46011</v>
      </c>
      <c r="D5826" t="inlineStr">
        <is>
          <t>VÄSTRA GÖTALANDS LÄN</t>
        </is>
      </c>
      <c r="E5826" t="inlineStr">
        <is>
          <t>DALS-ED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43124-2025</t>
        </is>
      </c>
      <c r="B5827" s="1" t="n">
        <v>45909.70793981481</v>
      </c>
      <c r="C5827" s="1" t="n">
        <v>46011</v>
      </c>
      <c r="D5827" t="inlineStr">
        <is>
          <t>VÄSTRA GÖTALANDS LÄN</t>
        </is>
      </c>
      <c r="E5827" t="inlineStr">
        <is>
          <t>TIBRO</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31163-2025</t>
        </is>
      </c>
      <c r="B5828" s="1" t="n">
        <v>45832.65693287037</v>
      </c>
      <c r="C5828" s="1" t="n">
        <v>46011</v>
      </c>
      <c r="D5828" t="inlineStr">
        <is>
          <t>VÄSTRA GÖTALANDS LÄN</t>
        </is>
      </c>
      <c r="E5828" t="inlineStr">
        <is>
          <t>VARA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58385-2024</t>
        </is>
      </c>
      <c r="B5829" s="1" t="n">
        <v>45633.38069444444</v>
      </c>
      <c r="C5829" s="1" t="n">
        <v>46011</v>
      </c>
      <c r="D5829" t="inlineStr">
        <is>
          <t>VÄSTRA GÖTALANDS LÄN</t>
        </is>
      </c>
      <c r="E5829" t="inlineStr">
        <is>
          <t>UDDEVALLA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58410-2024</t>
        </is>
      </c>
      <c r="B5830" s="1" t="n">
        <v>45634.74640046297</v>
      </c>
      <c r="C5830" s="1" t="n">
        <v>46011</v>
      </c>
      <c r="D5830" t="inlineStr">
        <is>
          <t>VÄSTRA GÖTALANDS LÄN</t>
        </is>
      </c>
      <c r="E5830" t="inlineStr">
        <is>
          <t>ALINGSÅS</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7922-2023</t>
        </is>
      </c>
      <c r="B5831" s="1" t="n">
        <v>44973</v>
      </c>
      <c r="C5831" s="1" t="n">
        <v>46011</v>
      </c>
      <c r="D5831" t="inlineStr">
        <is>
          <t>VÄSTRA GÖTALANDS LÄN</t>
        </is>
      </c>
      <c r="E5831" t="inlineStr">
        <is>
          <t>TIDAHOLM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7931-2023</t>
        </is>
      </c>
      <c r="B5832" s="1" t="n">
        <v>44973</v>
      </c>
      <c r="C5832" s="1" t="n">
        <v>46011</v>
      </c>
      <c r="D5832" t="inlineStr">
        <is>
          <t>VÄSTRA GÖTALANDS LÄN</t>
        </is>
      </c>
      <c r="E5832" t="inlineStr">
        <is>
          <t>TIDAHOLM</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30849-2025</t>
        </is>
      </c>
      <c r="B5833" s="1" t="n">
        <v>45831.81407407407</v>
      </c>
      <c r="C5833" s="1" t="n">
        <v>46011</v>
      </c>
      <c r="D5833" t="inlineStr">
        <is>
          <t>VÄSTRA GÖTALANDS LÄN</t>
        </is>
      </c>
      <c r="E5833" t="inlineStr">
        <is>
          <t>TRANEMO</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21370-2022</t>
        </is>
      </c>
      <c r="B5834" s="1" t="n">
        <v>44705.70888888889</v>
      </c>
      <c r="C5834" s="1" t="n">
        <v>46011</v>
      </c>
      <c r="D5834" t="inlineStr">
        <is>
          <t>VÄSTRA GÖTALANDS LÄN</t>
        </is>
      </c>
      <c r="E5834" t="inlineStr">
        <is>
          <t>DALS-ED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58418-2024</t>
        </is>
      </c>
      <c r="B5835" s="1" t="n">
        <v>45634</v>
      </c>
      <c r="C5835" s="1" t="n">
        <v>46011</v>
      </c>
      <c r="D5835" t="inlineStr">
        <is>
          <t>VÄSTRA GÖTALANDS LÄN</t>
        </is>
      </c>
      <c r="E5835" t="inlineStr">
        <is>
          <t>GÖTENE</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49786-2023</t>
        </is>
      </c>
      <c r="B5836" s="1" t="n">
        <v>45212.61490740741</v>
      </c>
      <c r="C5836" s="1" t="n">
        <v>46011</v>
      </c>
      <c r="D5836" t="inlineStr">
        <is>
          <t>VÄSTRA GÖTALANDS LÄN</t>
        </is>
      </c>
      <c r="E5836" t="inlineStr">
        <is>
          <t>TIDAHOLM</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60662-2023</t>
        </is>
      </c>
      <c r="B5837" s="1" t="n">
        <v>45260</v>
      </c>
      <c r="C5837" s="1" t="n">
        <v>46011</v>
      </c>
      <c r="D5837" t="inlineStr">
        <is>
          <t>VÄSTRA GÖTALANDS LÄN</t>
        </is>
      </c>
      <c r="E5837" t="inlineStr">
        <is>
          <t>MUNKEDAL</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31150-2025</t>
        </is>
      </c>
      <c r="B5838" s="1" t="n">
        <v>45832.64126157408</v>
      </c>
      <c r="C5838" s="1" t="n">
        <v>46011</v>
      </c>
      <c r="D5838" t="inlineStr">
        <is>
          <t>VÄSTRA GÖTALANDS LÄN</t>
        </is>
      </c>
      <c r="E5838" t="inlineStr">
        <is>
          <t>DALS-ED</t>
        </is>
      </c>
      <c r="F5838" t="inlineStr">
        <is>
          <t>Övriga Aktiebolag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3461-2023</t>
        </is>
      </c>
      <c r="B5839" s="1" t="n">
        <v>44949.64356481482</v>
      </c>
      <c r="C5839" s="1" t="n">
        <v>46011</v>
      </c>
      <c r="D5839" t="inlineStr">
        <is>
          <t>VÄSTRA GÖTALANDS LÄN</t>
        </is>
      </c>
      <c r="E5839" t="inlineStr">
        <is>
          <t>FALKÖPING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12007-2025</t>
        </is>
      </c>
      <c r="B5840" s="1" t="n">
        <v>45728</v>
      </c>
      <c r="C5840" s="1" t="n">
        <v>46011</v>
      </c>
      <c r="D5840" t="inlineStr">
        <is>
          <t>VÄSTRA GÖTALANDS LÄN</t>
        </is>
      </c>
      <c r="E5840" t="inlineStr">
        <is>
          <t>VARA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10897-2025</t>
        </is>
      </c>
      <c r="B5841" s="1" t="n">
        <v>45722.68349537037</v>
      </c>
      <c r="C5841" s="1" t="n">
        <v>46011</v>
      </c>
      <c r="D5841" t="inlineStr">
        <is>
          <t>VÄSTRA GÖTALANDS LÄN</t>
        </is>
      </c>
      <c r="E5841" t="inlineStr">
        <is>
          <t>KARLSBORG</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10907-2025</t>
        </is>
      </c>
      <c r="B5842" s="1" t="n">
        <v>45722.70744212963</v>
      </c>
      <c r="C5842" s="1" t="n">
        <v>46011</v>
      </c>
      <c r="D5842" t="inlineStr">
        <is>
          <t>VÄSTRA GÖTALANDS LÄN</t>
        </is>
      </c>
      <c r="E5842" t="inlineStr">
        <is>
          <t>DALS-ED</t>
        </is>
      </c>
      <c r="G5842" t="n">
        <v>19.8</v>
      </c>
      <c r="H5842" t="n">
        <v>0</v>
      </c>
      <c r="I5842" t="n">
        <v>0</v>
      </c>
      <c r="J5842" t="n">
        <v>0</v>
      </c>
      <c r="K5842" t="n">
        <v>0</v>
      </c>
      <c r="L5842" t="n">
        <v>0</v>
      </c>
      <c r="M5842" t="n">
        <v>0</v>
      </c>
      <c r="N5842" t="n">
        <v>0</v>
      </c>
      <c r="O5842" t="n">
        <v>0</v>
      </c>
      <c r="P5842" t="n">
        <v>0</v>
      </c>
      <c r="Q5842" t="n">
        <v>0</v>
      </c>
      <c r="R5842" s="2" t="inlineStr"/>
    </row>
    <row r="5843" ht="15" customHeight="1">
      <c r="A5843" t="inlineStr">
        <is>
          <t>A 30797-2025</t>
        </is>
      </c>
      <c r="B5843" s="1" t="n">
        <v>45831.64825231482</v>
      </c>
      <c r="C5843" s="1" t="n">
        <v>46011</v>
      </c>
      <c r="D5843" t="inlineStr">
        <is>
          <t>VÄSTRA GÖTALANDS LÄN</t>
        </is>
      </c>
      <c r="E5843" t="inlineStr">
        <is>
          <t>MARK</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43099-2025</t>
        </is>
      </c>
      <c r="B5844" s="1" t="n">
        <v>45909</v>
      </c>
      <c r="C5844" s="1" t="n">
        <v>46011</v>
      </c>
      <c r="D5844" t="inlineStr">
        <is>
          <t>VÄSTRA GÖTALANDS LÄN</t>
        </is>
      </c>
      <c r="E5844" t="inlineStr">
        <is>
          <t>MARIESTAD</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49391-2024</t>
        </is>
      </c>
      <c r="B5845" s="1" t="n">
        <v>45595.6597337963</v>
      </c>
      <c r="C5845" s="1" t="n">
        <v>46011</v>
      </c>
      <c r="D5845" t="inlineStr">
        <is>
          <t>VÄSTRA GÖTALANDS LÄN</t>
        </is>
      </c>
      <c r="E5845" t="inlineStr">
        <is>
          <t>VARA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43027-2025</t>
        </is>
      </c>
      <c r="B5846" s="1" t="n">
        <v>45909.5346875</v>
      </c>
      <c r="C5846" s="1" t="n">
        <v>46011</v>
      </c>
      <c r="D5846" t="inlineStr">
        <is>
          <t>VÄSTRA GÖTALANDS LÄN</t>
        </is>
      </c>
      <c r="E5846" t="inlineStr">
        <is>
          <t>MARK</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42928-2025</t>
        </is>
      </c>
      <c r="B5847" s="1" t="n">
        <v>45909.19603009259</v>
      </c>
      <c r="C5847" s="1" t="n">
        <v>46011</v>
      </c>
      <c r="D5847" t="inlineStr">
        <is>
          <t>VÄSTRA GÖTALANDS LÄN</t>
        </is>
      </c>
      <c r="E5847" t="inlineStr">
        <is>
          <t>BORÅS</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44402-2024</t>
        </is>
      </c>
      <c r="B5848" s="1" t="n">
        <v>45573.7084837963</v>
      </c>
      <c r="C5848" s="1" t="n">
        <v>46011</v>
      </c>
      <c r="D5848" t="inlineStr">
        <is>
          <t>VÄSTRA GÖTALANDS LÄN</t>
        </is>
      </c>
      <c r="E5848" t="inlineStr">
        <is>
          <t>ULRICEHAMN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48895-2023</t>
        </is>
      </c>
      <c r="B5849" s="1" t="n">
        <v>45209.49538194444</v>
      </c>
      <c r="C5849" s="1" t="n">
        <v>46011</v>
      </c>
      <c r="D5849" t="inlineStr">
        <is>
          <t>VÄSTRA GÖTALANDS LÄN</t>
        </is>
      </c>
      <c r="E5849" t="inlineStr">
        <is>
          <t>STENUNGSUND</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47360-2024</t>
        </is>
      </c>
      <c r="B5850" s="1" t="n">
        <v>45587.43553240741</v>
      </c>
      <c r="C5850" s="1" t="n">
        <v>46011</v>
      </c>
      <c r="D5850" t="inlineStr">
        <is>
          <t>VÄSTRA GÖTALANDS LÄN</t>
        </is>
      </c>
      <c r="E5850" t="inlineStr">
        <is>
          <t>HERRLJUNGA</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47405-2024</t>
        </is>
      </c>
      <c r="B5851" s="1" t="n">
        <v>45587.47545138889</v>
      </c>
      <c r="C5851" s="1" t="n">
        <v>46011</v>
      </c>
      <c r="D5851" t="inlineStr">
        <is>
          <t>VÄSTRA GÖTALANDS LÄN</t>
        </is>
      </c>
      <c r="E5851" t="inlineStr">
        <is>
          <t>MARK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30621-2025</t>
        </is>
      </c>
      <c r="B5852" s="1" t="n">
        <v>45831.47098379629</v>
      </c>
      <c r="C5852" s="1" t="n">
        <v>46011</v>
      </c>
      <c r="D5852" t="inlineStr">
        <is>
          <t>VÄSTRA GÖTALANDS LÄN</t>
        </is>
      </c>
      <c r="E5852" t="inlineStr">
        <is>
          <t>VÄNERSBORG</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43006-2025</t>
        </is>
      </c>
      <c r="B5853" s="1" t="n">
        <v>45909.48016203703</v>
      </c>
      <c r="C5853" s="1" t="n">
        <v>46011</v>
      </c>
      <c r="D5853" t="inlineStr">
        <is>
          <t>VÄSTRA GÖTALANDS LÄN</t>
        </is>
      </c>
      <c r="E5853" t="inlineStr">
        <is>
          <t>ULRICEHAMN</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43009-2025</t>
        </is>
      </c>
      <c r="B5854" s="1" t="n">
        <v>45909.4825</v>
      </c>
      <c r="C5854" s="1" t="n">
        <v>46011</v>
      </c>
      <c r="D5854" t="inlineStr">
        <is>
          <t>VÄSTRA GÖTALANDS LÄN</t>
        </is>
      </c>
      <c r="E5854" t="inlineStr">
        <is>
          <t>ULRICEHAMN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47434-2024</t>
        </is>
      </c>
      <c r="B5855" s="1" t="n">
        <v>45587.52200231481</v>
      </c>
      <c r="C5855" s="1" t="n">
        <v>46011</v>
      </c>
      <c r="D5855" t="inlineStr">
        <is>
          <t>VÄSTRA GÖTALANDS LÄN</t>
        </is>
      </c>
      <c r="E5855" t="inlineStr">
        <is>
          <t>DALS-ED</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43214-2025</t>
        </is>
      </c>
      <c r="B5856" s="1" t="n">
        <v>45910</v>
      </c>
      <c r="C5856" s="1" t="n">
        <v>46011</v>
      </c>
      <c r="D5856" t="inlineStr">
        <is>
          <t>VÄSTRA GÖTALANDS LÄN</t>
        </is>
      </c>
      <c r="E5856" t="inlineStr">
        <is>
          <t>VÅRGÅRDA</t>
        </is>
      </c>
      <c r="F5856" t="inlineStr">
        <is>
          <t>Allmännings- och besparingsskogar</t>
        </is>
      </c>
      <c r="G5856" t="n">
        <v>13.8</v>
      </c>
      <c r="H5856" t="n">
        <v>0</v>
      </c>
      <c r="I5856" t="n">
        <v>0</v>
      </c>
      <c r="J5856" t="n">
        <v>0</v>
      </c>
      <c r="K5856" t="n">
        <v>0</v>
      </c>
      <c r="L5856" t="n">
        <v>0</v>
      </c>
      <c r="M5856" t="n">
        <v>0</v>
      </c>
      <c r="N5856" t="n">
        <v>0</v>
      </c>
      <c r="O5856" t="n">
        <v>0</v>
      </c>
      <c r="P5856" t="n">
        <v>0</v>
      </c>
      <c r="Q5856" t="n">
        <v>0</v>
      </c>
      <c r="R5856" s="2" t="inlineStr"/>
    </row>
    <row r="5857" ht="15" customHeight="1">
      <c r="A5857" t="inlineStr">
        <is>
          <t>A 43043-2025</t>
        </is>
      </c>
      <c r="B5857" s="1" t="n">
        <v>45909.55841435185</v>
      </c>
      <c r="C5857" s="1" t="n">
        <v>46011</v>
      </c>
      <c r="D5857" t="inlineStr">
        <is>
          <t>VÄSTRA GÖTALANDS LÄN</t>
        </is>
      </c>
      <c r="E5857" t="inlineStr">
        <is>
          <t>LERUM</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21690-2024</t>
        </is>
      </c>
      <c r="B5858" s="1" t="n">
        <v>45442.44256944444</v>
      </c>
      <c r="C5858" s="1" t="n">
        <v>46011</v>
      </c>
      <c r="D5858" t="inlineStr">
        <is>
          <t>VÄSTRA GÖTALANDS LÄN</t>
        </is>
      </c>
      <c r="E5858" t="inlineStr">
        <is>
          <t>FALKÖPING</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39163-2023</t>
        </is>
      </c>
      <c r="B5859" s="1" t="n">
        <v>45166.35552083333</v>
      </c>
      <c r="C5859" s="1" t="n">
        <v>46011</v>
      </c>
      <c r="D5859" t="inlineStr">
        <is>
          <t>VÄSTRA GÖTALANDS LÄN</t>
        </is>
      </c>
      <c r="E5859" t="inlineStr">
        <is>
          <t>MUNKEDAL</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30905-2025</t>
        </is>
      </c>
      <c r="B5860" s="1" t="n">
        <v>45832.36346064815</v>
      </c>
      <c r="C5860" s="1" t="n">
        <v>46011</v>
      </c>
      <c r="D5860" t="inlineStr">
        <is>
          <t>VÄSTRA GÖTALANDS LÄN</t>
        </is>
      </c>
      <c r="E5860" t="inlineStr">
        <is>
          <t>BORÅS</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31146-2025</t>
        </is>
      </c>
      <c r="B5861" s="1" t="n">
        <v>45832.63880787037</v>
      </c>
      <c r="C5861" s="1" t="n">
        <v>46011</v>
      </c>
      <c r="D5861" t="inlineStr">
        <is>
          <t>VÄSTRA GÖTALANDS LÄN</t>
        </is>
      </c>
      <c r="E5861" t="inlineStr">
        <is>
          <t>FÄRGELANDA</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13061-2024</t>
        </is>
      </c>
      <c r="B5862" s="1" t="n">
        <v>45385.62458333333</v>
      </c>
      <c r="C5862" s="1" t="n">
        <v>46011</v>
      </c>
      <c r="D5862" t="inlineStr">
        <is>
          <t>VÄSTRA GÖTALANDS LÄN</t>
        </is>
      </c>
      <c r="E5862" t="inlineStr">
        <is>
          <t>ULRICEHAMN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13170-2024</t>
        </is>
      </c>
      <c r="B5863" s="1" t="n">
        <v>45386.40589120371</v>
      </c>
      <c r="C5863" s="1" t="n">
        <v>46011</v>
      </c>
      <c r="D5863" t="inlineStr">
        <is>
          <t>VÄSTRA GÖTALANDS LÄN</t>
        </is>
      </c>
      <c r="E5863" t="inlineStr">
        <is>
          <t>GÖTENE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43343-2025</t>
        </is>
      </c>
      <c r="B5864" s="1" t="n">
        <v>45910.76835648148</v>
      </c>
      <c r="C5864" s="1" t="n">
        <v>46011</v>
      </c>
      <c r="D5864" t="inlineStr">
        <is>
          <t>VÄSTRA GÖTALANDS LÄN</t>
        </is>
      </c>
      <c r="E5864" t="inlineStr">
        <is>
          <t>ÅMÅL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43347-2025</t>
        </is>
      </c>
      <c r="B5865" s="1" t="n">
        <v>45910.90111111111</v>
      </c>
      <c r="C5865" s="1" t="n">
        <v>46011</v>
      </c>
      <c r="D5865" t="inlineStr">
        <is>
          <t>VÄSTRA GÖTALANDS LÄN</t>
        </is>
      </c>
      <c r="E5865" t="inlineStr">
        <is>
          <t>MARK</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43398-2025</t>
        </is>
      </c>
      <c r="B5866" s="1" t="n">
        <v>45911.37747685185</v>
      </c>
      <c r="C5866" s="1" t="n">
        <v>46011</v>
      </c>
      <c r="D5866" t="inlineStr">
        <is>
          <t>VÄSTRA GÖTALANDS LÄN</t>
        </is>
      </c>
      <c r="E5866" t="inlineStr">
        <is>
          <t>MELLERUD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30952-2025</t>
        </is>
      </c>
      <c r="B5867" s="1" t="n">
        <v>45832.434375</v>
      </c>
      <c r="C5867" s="1" t="n">
        <v>46011</v>
      </c>
      <c r="D5867" t="inlineStr">
        <is>
          <t>VÄSTRA GÖTALANDS LÄN</t>
        </is>
      </c>
      <c r="E5867" t="inlineStr">
        <is>
          <t>BORÅS</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58832-2023</t>
        </is>
      </c>
      <c r="B5868" s="1" t="n">
        <v>45247</v>
      </c>
      <c r="C5868" s="1" t="n">
        <v>46011</v>
      </c>
      <c r="D5868" t="inlineStr">
        <is>
          <t>VÄSTRA GÖTALANDS LÄN</t>
        </is>
      </c>
      <c r="E5868" t="inlineStr">
        <is>
          <t>GULLSPÅNG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43480-2025</t>
        </is>
      </c>
      <c r="B5869" s="1" t="n">
        <v>45911.49900462963</v>
      </c>
      <c r="C5869" s="1" t="n">
        <v>46011</v>
      </c>
      <c r="D5869" t="inlineStr">
        <is>
          <t>VÄSTRA GÖTALANDS LÄN</t>
        </is>
      </c>
      <c r="E5869" t="inlineStr">
        <is>
          <t>MARK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43792-2025</t>
        </is>
      </c>
      <c r="B5870" s="1" t="n">
        <v>45912.55064814815</v>
      </c>
      <c r="C5870" s="1" t="n">
        <v>46011</v>
      </c>
      <c r="D5870" t="inlineStr">
        <is>
          <t>VÄSTRA GÖTALANDS LÄN</t>
        </is>
      </c>
      <c r="E5870" t="inlineStr">
        <is>
          <t>SVENLJUNGA</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43446-2025</t>
        </is>
      </c>
      <c r="B5871" s="1" t="n">
        <v>45911.45128472222</v>
      </c>
      <c r="C5871" s="1" t="n">
        <v>46011</v>
      </c>
      <c r="D5871" t="inlineStr">
        <is>
          <t>VÄSTRA GÖTALANDS LÄN</t>
        </is>
      </c>
      <c r="E5871" t="inlineStr">
        <is>
          <t>MUNKEDAL</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43541-2025</t>
        </is>
      </c>
      <c r="B5872" s="1" t="n">
        <v>45911.60729166667</v>
      </c>
      <c r="C5872" s="1" t="n">
        <v>46011</v>
      </c>
      <c r="D5872" t="inlineStr">
        <is>
          <t>VÄSTRA GÖTALANDS LÄN</t>
        </is>
      </c>
      <c r="E5872" t="inlineStr">
        <is>
          <t>SVENLJUNGA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36300-2024</t>
        </is>
      </c>
      <c r="B5873" s="1" t="n">
        <v>45534.60949074074</v>
      </c>
      <c r="C5873" s="1" t="n">
        <v>46011</v>
      </c>
      <c r="D5873" t="inlineStr">
        <is>
          <t>VÄSTRA GÖTALANDS LÄN</t>
        </is>
      </c>
      <c r="E5873" t="inlineStr">
        <is>
          <t>MARK</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35491-2025</t>
        </is>
      </c>
      <c r="B5874" s="1" t="n">
        <v>45855.87664351852</v>
      </c>
      <c r="C5874" s="1" t="n">
        <v>46011</v>
      </c>
      <c r="D5874" t="inlineStr">
        <is>
          <t>VÄSTRA GÖTALANDS LÄN</t>
        </is>
      </c>
      <c r="E5874" t="inlineStr">
        <is>
          <t>BOLLEBYGD</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10410-2023</t>
        </is>
      </c>
      <c r="B5875" s="1" t="n">
        <v>44987.49986111111</v>
      </c>
      <c r="C5875" s="1" t="n">
        <v>46011</v>
      </c>
      <c r="D5875" t="inlineStr">
        <is>
          <t>VÄSTRA GÖTALANDS LÄN</t>
        </is>
      </c>
      <c r="E5875" t="inlineStr">
        <is>
          <t>BORÅS</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34676-2024</t>
        </is>
      </c>
      <c r="B5876" s="1" t="n">
        <v>45526.53488425926</v>
      </c>
      <c r="C5876" s="1" t="n">
        <v>46011</v>
      </c>
      <c r="D5876" t="inlineStr">
        <is>
          <t>VÄSTRA GÖTALANDS LÄN</t>
        </is>
      </c>
      <c r="E5876" t="inlineStr">
        <is>
          <t>HERRLJUNGA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2159-2023</t>
        </is>
      </c>
      <c r="B5877" s="1" t="n">
        <v>44941.67449074074</v>
      </c>
      <c r="C5877" s="1" t="n">
        <v>46011</v>
      </c>
      <c r="D5877" t="inlineStr">
        <is>
          <t>VÄSTRA GÖTALANDS LÄN</t>
        </is>
      </c>
      <c r="E5877" t="inlineStr">
        <is>
          <t>BORÅS</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30994-2025</t>
        </is>
      </c>
      <c r="B5878" s="1" t="n">
        <v>45832.4885300926</v>
      </c>
      <c r="C5878" s="1" t="n">
        <v>46011</v>
      </c>
      <c r="D5878" t="inlineStr">
        <is>
          <t>VÄSTRA GÖTALANDS LÄN</t>
        </is>
      </c>
      <c r="E5878" t="inlineStr">
        <is>
          <t>FÄRGELANDA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14076-2024</t>
        </is>
      </c>
      <c r="B5879" s="1" t="n">
        <v>45392.58446759259</v>
      </c>
      <c r="C5879" s="1" t="n">
        <v>46011</v>
      </c>
      <c r="D5879" t="inlineStr">
        <is>
          <t>VÄSTRA GÖTALANDS LÄN</t>
        </is>
      </c>
      <c r="E5879" t="inlineStr">
        <is>
          <t>MUNKEDAL</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15656-2024</t>
        </is>
      </c>
      <c r="B5880" s="1" t="n">
        <v>45404</v>
      </c>
      <c r="C5880" s="1" t="n">
        <v>46011</v>
      </c>
      <c r="D5880" t="inlineStr">
        <is>
          <t>VÄSTRA GÖTALANDS LÄN</t>
        </is>
      </c>
      <c r="E5880" t="inlineStr">
        <is>
          <t>KARLSBORG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43832-2025</t>
        </is>
      </c>
      <c r="B5881" s="1" t="n">
        <v>45912.63020833334</v>
      </c>
      <c r="C5881" s="1" t="n">
        <v>46011</v>
      </c>
      <c r="D5881" t="inlineStr">
        <is>
          <t>VÄSTRA GÖTALANDS LÄN</t>
        </is>
      </c>
      <c r="E5881" t="inlineStr">
        <is>
          <t>HÄRRYDA</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44966-2024</t>
        </is>
      </c>
      <c r="B5882" s="1" t="n">
        <v>45575.45644675926</v>
      </c>
      <c r="C5882" s="1" t="n">
        <v>46011</v>
      </c>
      <c r="D5882" t="inlineStr">
        <is>
          <t>VÄSTRA GÖTALANDS LÄN</t>
        </is>
      </c>
      <c r="E5882" t="inlineStr">
        <is>
          <t>TANUM</t>
        </is>
      </c>
      <c r="F5882" t="inlineStr">
        <is>
          <t>Naturvårdsverket</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37317-2021</t>
        </is>
      </c>
      <c r="B5883" s="1" t="n">
        <v>44397.51965277778</v>
      </c>
      <c r="C5883" s="1" t="n">
        <v>46011</v>
      </c>
      <c r="D5883" t="inlineStr">
        <is>
          <t>VÄSTRA GÖTALANDS LÄN</t>
        </is>
      </c>
      <c r="E5883" t="inlineStr">
        <is>
          <t>SVENLJUNGA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44985-2024</t>
        </is>
      </c>
      <c r="B5884" s="1" t="n">
        <v>45575.47465277778</v>
      </c>
      <c r="C5884" s="1" t="n">
        <v>46011</v>
      </c>
      <c r="D5884" t="inlineStr">
        <is>
          <t>VÄSTRA GÖTALANDS LÄN</t>
        </is>
      </c>
      <c r="E5884" t="inlineStr">
        <is>
          <t>KARLSBORG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43358-2025</t>
        </is>
      </c>
      <c r="B5885" s="1" t="n">
        <v>45911.34137731481</v>
      </c>
      <c r="C5885" s="1" t="n">
        <v>46011</v>
      </c>
      <c r="D5885" t="inlineStr">
        <is>
          <t>VÄSTRA GÖTALANDS LÄN</t>
        </is>
      </c>
      <c r="E5885" t="inlineStr">
        <is>
          <t>DALS-ED</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43370-2025</t>
        </is>
      </c>
      <c r="B5886" s="1" t="n">
        <v>45911.34883101852</v>
      </c>
      <c r="C5886" s="1" t="n">
        <v>46011</v>
      </c>
      <c r="D5886" t="inlineStr">
        <is>
          <t>VÄSTRA GÖTALANDS LÄN</t>
        </is>
      </c>
      <c r="E5886" t="inlineStr">
        <is>
          <t>HJO</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34671-2024</t>
        </is>
      </c>
      <c r="B5887" s="1" t="n">
        <v>45526.52795138889</v>
      </c>
      <c r="C5887" s="1" t="n">
        <v>46011</v>
      </c>
      <c r="D5887" t="inlineStr">
        <is>
          <t>VÄSTRA GÖTALANDS LÄN</t>
        </is>
      </c>
      <c r="E5887" t="inlineStr">
        <is>
          <t>HERRLJUNGA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43428-2025</t>
        </is>
      </c>
      <c r="B5888" s="1" t="n">
        <v>45911.41943287037</v>
      </c>
      <c r="C5888" s="1" t="n">
        <v>46011</v>
      </c>
      <c r="D5888" t="inlineStr">
        <is>
          <t>VÄSTRA GÖTALANDS LÄN</t>
        </is>
      </c>
      <c r="E5888" t="inlineStr">
        <is>
          <t>MELLERUD</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43440-2025</t>
        </is>
      </c>
      <c r="B5889" s="1" t="n">
        <v>45911.43915509259</v>
      </c>
      <c r="C5889" s="1" t="n">
        <v>46011</v>
      </c>
      <c r="D5889" t="inlineStr">
        <is>
          <t>VÄSTRA GÖTALANDS LÄN</t>
        </is>
      </c>
      <c r="E5889" t="inlineStr">
        <is>
          <t>TÖREBODA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42026-2025</t>
        </is>
      </c>
      <c r="B5890" s="1" t="n">
        <v>45903</v>
      </c>
      <c r="C5890" s="1" t="n">
        <v>46011</v>
      </c>
      <c r="D5890" t="inlineStr">
        <is>
          <t>VÄSTRA GÖTALANDS LÄN</t>
        </is>
      </c>
      <c r="E5890" t="inlineStr">
        <is>
          <t>ÅMÅL</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57249-2024</t>
        </is>
      </c>
      <c r="B5891" s="1" t="n">
        <v>45629.55349537037</v>
      </c>
      <c r="C5891" s="1" t="n">
        <v>46011</v>
      </c>
      <c r="D5891" t="inlineStr">
        <is>
          <t>VÄSTRA GÖTALANDS LÄN</t>
        </is>
      </c>
      <c r="E5891" t="inlineStr">
        <is>
          <t>ULRICEHAMN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46533-2024</t>
        </is>
      </c>
      <c r="B5892" s="1" t="n">
        <v>45582.64207175926</v>
      </c>
      <c r="C5892" s="1" t="n">
        <v>46011</v>
      </c>
      <c r="D5892" t="inlineStr">
        <is>
          <t>VÄSTRA GÖTALANDS LÄN</t>
        </is>
      </c>
      <c r="E5892" t="inlineStr">
        <is>
          <t>TROLLHÄTTAN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30486-2025</t>
        </is>
      </c>
      <c r="B5893" s="1" t="n">
        <v>45829.4681712963</v>
      </c>
      <c r="C5893" s="1" t="n">
        <v>46011</v>
      </c>
      <c r="D5893" t="inlineStr">
        <is>
          <t>VÄSTRA GÖTALANDS LÄN</t>
        </is>
      </c>
      <c r="E5893" t="inlineStr">
        <is>
          <t>TROLLHÄTTAN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46587-2024</t>
        </is>
      </c>
      <c r="B5894" s="1" t="n">
        <v>45582.76763888889</v>
      </c>
      <c r="C5894" s="1" t="n">
        <v>46011</v>
      </c>
      <c r="D5894" t="inlineStr">
        <is>
          <t>VÄSTRA GÖTALANDS LÄN</t>
        </is>
      </c>
      <c r="E5894" t="inlineStr">
        <is>
          <t>SOTENÄS</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46588-2024</t>
        </is>
      </c>
      <c r="B5895" s="1" t="n">
        <v>45582.77137731481</v>
      </c>
      <c r="C5895" s="1" t="n">
        <v>46011</v>
      </c>
      <c r="D5895" t="inlineStr">
        <is>
          <t>VÄSTRA GÖTALANDS LÄN</t>
        </is>
      </c>
      <c r="E5895" t="inlineStr">
        <is>
          <t>SOTENÄS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43654-2025</t>
        </is>
      </c>
      <c r="B5896" s="1" t="n">
        <v>45912.33157407407</v>
      </c>
      <c r="C5896" s="1" t="n">
        <v>46011</v>
      </c>
      <c r="D5896" t="inlineStr">
        <is>
          <t>VÄSTRA GÖTALANDS LÄN</t>
        </is>
      </c>
      <c r="E5896" t="inlineStr">
        <is>
          <t>TRANEMO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11436-2022</t>
        </is>
      </c>
      <c r="B5897" s="1" t="n">
        <v>44630</v>
      </c>
      <c r="C5897" s="1" t="n">
        <v>46011</v>
      </c>
      <c r="D5897" t="inlineStr">
        <is>
          <t>VÄSTRA GÖTALANDS LÄN</t>
        </is>
      </c>
      <c r="E5897" t="inlineStr">
        <is>
          <t>FALKÖPING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43688-2025</t>
        </is>
      </c>
      <c r="B5898" s="1" t="n">
        <v>45912</v>
      </c>
      <c r="C5898" s="1" t="n">
        <v>46011</v>
      </c>
      <c r="D5898" t="inlineStr">
        <is>
          <t>VÄSTRA GÖTALANDS LÄN</t>
        </is>
      </c>
      <c r="E5898" t="inlineStr">
        <is>
          <t>TÖREBODA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11440-2022</t>
        </is>
      </c>
      <c r="B5899" s="1" t="n">
        <v>44630</v>
      </c>
      <c r="C5899" s="1" t="n">
        <v>46011</v>
      </c>
      <c r="D5899" t="inlineStr">
        <is>
          <t>VÄSTRA GÖTALANDS LÄN</t>
        </is>
      </c>
      <c r="E5899" t="inlineStr">
        <is>
          <t>FALKÖPING</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11444-2022</t>
        </is>
      </c>
      <c r="B5900" s="1" t="n">
        <v>44630.63126157408</v>
      </c>
      <c r="C5900" s="1" t="n">
        <v>46011</v>
      </c>
      <c r="D5900" t="inlineStr">
        <is>
          <t>VÄSTRA GÖTALANDS LÄN</t>
        </is>
      </c>
      <c r="E5900" t="inlineStr">
        <is>
          <t>TIDAHOLM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30832-2025</t>
        </is>
      </c>
      <c r="B5901" s="1" t="n">
        <v>45831.68861111111</v>
      </c>
      <c r="C5901" s="1" t="n">
        <v>46011</v>
      </c>
      <c r="D5901" t="inlineStr">
        <is>
          <t>VÄSTRA GÖTALANDS LÄN</t>
        </is>
      </c>
      <c r="E5901" t="inlineStr">
        <is>
          <t>TRANEMO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3682-2023</t>
        </is>
      </c>
      <c r="B5902" s="1" t="n">
        <v>44950</v>
      </c>
      <c r="C5902" s="1" t="n">
        <v>46011</v>
      </c>
      <c r="D5902" t="inlineStr">
        <is>
          <t>VÄSTRA GÖTALANDS LÄN</t>
        </is>
      </c>
      <c r="E5902" t="inlineStr">
        <is>
          <t>MARK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15448-2022</t>
        </is>
      </c>
      <c r="B5903" s="1" t="n">
        <v>44660.55568287037</v>
      </c>
      <c r="C5903" s="1" t="n">
        <v>46011</v>
      </c>
      <c r="D5903" t="inlineStr">
        <is>
          <t>VÄSTRA GÖTALANDS LÄN</t>
        </is>
      </c>
      <c r="E5903" t="inlineStr">
        <is>
          <t>MARK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43523-2025</t>
        </is>
      </c>
      <c r="B5904" s="1" t="n">
        <v>45911</v>
      </c>
      <c r="C5904" s="1" t="n">
        <v>46011</v>
      </c>
      <c r="D5904" t="inlineStr">
        <is>
          <t>VÄSTRA GÖTALANDS LÄN</t>
        </is>
      </c>
      <c r="E5904" t="inlineStr">
        <is>
          <t>MELLERUD</t>
        </is>
      </c>
      <c r="F5904" t="inlineStr">
        <is>
          <t>Övriga Aktiebolag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68660-2021</t>
        </is>
      </c>
      <c r="B5905" s="1" t="n">
        <v>44529</v>
      </c>
      <c r="C5905" s="1" t="n">
        <v>46011</v>
      </c>
      <c r="D5905" t="inlineStr">
        <is>
          <t>VÄSTRA GÖTALANDS LÄN</t>
        </is>
      </c>
      <c r="E5905" t="inlineStr">
        <is>
          <t>FALKÖPING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9773-2021</t>
        </is>
      </c>
      <c r="B5906" s="1" t="n">
        <v>44252</v>
      </c>
      <c r="C5906" s="1" t="n">
        <v>46011</v>
      </c>
      <c r="D5906" t="inlineStr">
        <is>
          <t>VÄSTRA GÖTALANDS LÄN</t>
        </is>
      </c>
      <c r="E5906" t="inlineStr">
        <is>
          <t>HJO</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9802-2021</t>
        </is>
      </c>
      <c r="B5907" s="1" t="n">
        <v>44252.70211805555</v>
      </c>
      <c r="C5907" s="1" t="n">
        <v>46011</v>
      </c>
      <c r="D5907" t="inlineStr">
        <is>
          <t>VÄSTRA GÖTALANDS LÄN</t>
        </is>
      </c>
      <c r="E5907" t="inlineStr">
        <is>
          <t>VÅRGÅRDA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30704-2025</t>
        </is>
      </c>
      <c r="B5908" s="1" t="n">
        <v>45831.54914351852</v>
      </c>
      <c r="C5908" s="1" t="n">
        <v>46011</v>
      </c>
      <c r="D5908" t="inlineStr">
        <is>
          <t>VÄSTRA GÖTALANDS LÄN</t>
        </is>
      </c>
      <c r="E5908" t="inlineStr">
        <is>
          <t>SVENLJUNGA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6743-2021</t>
        </is>
      </c>
      <c r="B5909" s="1" t="n">
        <v>44236</v>
      </c>
      <c r="C5909" s="1" t="n">
        <v>46011</v>
      </c>
      <c r="D5909" t="inlineStr">
        <is>
          <t>VÄSTRA GÖTALANDS LÄN</t>
        </is>
      </c>
      <c r="E5909" t="inlineStr">
        <is>
          <t>BORÅS</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53097-2022</t>
        </is>
      </c>
      <c r="B5910" s="1" t="n">
        <v>44876.42122685185</v>
      </c>
      <c r="C5910" s="1" t="n">
        <v>46011</v>
      </c>
      <c r="D5910" t="inlineStr">
        <is>
          <t>VÄSTRA GÖTALANDS LÄN</t>
        </is>
      </c>
      <c r="E5910" t="inlineStr">
        <is>
          <t>MARIESTAD</t>
        </is>
      </c>
      <c r="F5910" t="inlineStr">
        <is>
          <t>Kyrkan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53131-2022</t>
        </is>
      </c>
      <c r="B5911" s="1" t="n">
        <v>44876.47059027778</v>
      </c>
      <c r="C5911" s="1" t="n">
        <v>46011</v>
      </c>
      <c r="D5911" t="inlineStr">
        <is>
          <t>VÄSTRA GÖTALANDS LÄN</t>
        </is>
      </c>
      <c r="E5911" t="inlineStr">
        <is>
          <t>TROLLHÄTTAN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4109-2025</t>
        </is>
      </c>
      <c r="B5912" s="1" t="n">
        <v>45684.69579861111</v>
      </c>
      <c r="C5912" s="1" t="n">
        <v>46011</v>
      </c>
      <c r="D5912" t="inlineStr">
        <is>
          <t>VÄSTRA GÖTALANDS LÄN</t>
        </is>
      </c>
      <c r="E5912" t="inlineStr">
        <is>
          <t>TÖREBODA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13159-2025</t>
        </is>
      </c>
      <c r="B5913" s="1" t="n">
        <v>45735.35841435185</v>
      </c>
      <c r="C5913" s="1" t="n">
        <v>46011</v>
      </c>
      <c r="D5913" t="inlineStr">
        <is>
          <t>VÄSTRA GÖTALANDS LÄN</t>
        </is>
      </c>
      <c r="E5913" t="inlineStr">
        <is>
          <t>ULRICEHAMN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31128-2025</t>
        </is>
      </c>
      <c r="B5914" s="1" t="n">
        <v>45832.6290625</v>
      </c>
      <c r="C5914" s="1" t="n">
        <v>46011</v>
      </c>
      <c r="D5914" t="inlineStr">
        <is>
          <t>VÄSTRA GÖTALANDS LÄN</t>
        </is>
      </c>
      <c r="E5914" t="inlineStr">
        <is>
          <t>TRANEMO</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43684-2025</t>
        </is>
      </c>
      <c r="B5915" s="1" t="n">
        <v>45912.37804398148</v>
      </c>
      <c r="C5915" s="1" t="n">
        <v>46011</v>
      </c>
      <c r="D5915" t="inlineStr">
        <is>
          <t>VÄSTRA GÖTALANDS LÄN</t>
        </is>
      </c>
      <c r="E5915" t="inlineStr">
        <is>
          <t>LILLA EDET</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45180-2024</t>
        </is>
      </c>
      <c r="B5916" s="1" t="n">
        <v>45575.66361111111</v>
      </c>
      <c r="C5916" s="1" t="n">
        <v>46011</v>
      </c>
      <c r="D5916" t="inlineStr">
        <is>
          <t>VÄSTRA GÖTALANDS LÄN</t>
        </is>
      </c>
      <c r="E5916" t="inlineStr">
        <is>
          <t>GÖTENE</t>
        </is>
      </c>
      <c r="G5916" t="n">
        <v>14.7</v>
      </c>
      <c r="H5916" t="n">
        <v>0</v>
      </c>
      <c r="I5916" t="n">
        <v>0</v>
      </c>
      <c r="J5916" t="n">
        <v>0</v>
      </c>
      <c r="K5916" t="n">
        <v>0</v>
      </c>
      <c r="L5916" t="n">
        <v>0</v>
      </c>
      <c r="M5916" t="n">
        <v>0</v>
      </c>
      <c r="N5916" t="n">
        <v>0</v>
      </c>
      <c r="O5916" t="n">
        <v>0</v>
      </c>
      <c r="P5916" t="n">
        <v>0</v>
      </c>
      <c r="Q5916" t="n">
        <v>0</v>
      </c>
      <c r="R5916" s="2" t="inlineStr"/>
    </row>
    <row r="5917" ht="15" customHeight="1">
      <c r="A5917" t="inlineStr">
        <is>
          <t>A 45609-2024</t>
        </is>
      </c>
      <c r="B5917" s="1" t="n">
        <v>45579.44858796296</v>
      </c>
      <c r="C5917" s="1" t="n">
        <v>46011</v>
      </c>
      <c r="D5917" t="inlineStr">
        <is>
          <t>VÄSTRA GÖTALANDS LÄN</t>
        </is>
      </c>
      <c r="E5917" t="inlineStr">
        <is>
          <t>BORÅS</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45613-2024</t>
        </is>
      </c>
      <c r="B5918" s="1" t="n">
        <v>45579.4525</v>
      </c>
      <c r="C5918" s="1" t="n">
        <v>46011</v>
      </c>
      <c r="D5918" t="inlineStr">
        <is>
          <t>VÄSTRA GÖTALANDS LÄN</t>
        </is>
      </c>
      <c r="E5918" t="inlineStr">
        <is>
          <t>BENGTSFORS</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30614-2025</t>
        </is>
      </c>
      <c r="B5919" s="1" t="n">
        <v>45831.46700231481</v>
      </c>
      <c r="C5919" s="1" t="n">
        <v>46011</v>
      </c>
      <c r="D5919" t="inlineStr">
        <is>
          <t>VÄSTRA GÖTALANDS LÄN</t>
        </is>
      </c>
      <c r="E5919" t="inlineStr">
        <is>
          <t>MUNKEDAL</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53317-2024</t>
        </is>
      </c>
      <c r="B5920" s="1" t="n">
        <v>45614.39809027778</v>
      </c>
      <c r="C5920" s="1" t="n">
        <v>46011</v>
      </c>
      <c r="D5920" t="inlineStr">
        <is>
          <t>VÄSTRA GÖTALANDS LÄN</t>
        </is>
      </c>
      <c r="E5920" t="inlineStr">
        <is>
          <t>MELLERUD</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53318-2024</t>
        </is>
      </c>
      <c r="B5921" s="1" t="n">
        <v>45614.40048611111</v>
      </c>
      <c r="C5921" s="1" t="n">
        <v>46011</v>
      </c>
      <c r="D5921" t="inlineStr">
        <is>
          <t>VÄSTRA GÖTALANDS LÄN</t>
        </is>
      </c>
      <c r="E5921" t="inlineStr">
        <is>
          <t>MELLERUD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43469-2025</t>
        </is>
      </c>
      <c r="B5922" s="1" t="n">
        <v>45911.47576388889</v>
      </c>
      <c r="C5922" s="1" t="n">
        <v>46011</v>
      </c>
      <c r="D5922" t="inlineStr">
        <is>
          <t>VÄSTRA GÖTALANDS LÄN</t>
        </is>
      </c>
      <c r="E5922" t="inlineStr">
        <is>
          <t>TIDAHOLM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30933-2025</t>
        </is>
      </c>
      <c r="B5923" s="1" t="n">
        <v>45832.403125</v>
      </c>
      <c r="C5923" s="1" t="n">
        <v>46011</v>
      </c>
      <c r="D5923" t="inlineStr">
        <is>
          <t>VÄSTRA GÖTALANDS LÄN</t>
        </is>
      </c>
      <c r="E5923" t="inlineStr">
        <is>
          <t>MARK</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43477-2025</t>
        </is>
      </c>
      <c r="B5924" s="1" t="n">
        <v>45911.49023148148</v>
      </c>
      <c r="C5924" s="1" t="n">
        <v>46011</v>
      </c>
      <c r="D5924" t="inlineStr">
        <is>
          <t>VÄSTRA GÖTALANDS LÄN</t>
        </is>
      </c>
      <c r="E5924" t="inlineStr">
        <is>
          <t>MARK</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43593-2025</t>
        </is>
      </c>
      <c r="B5925" s="1" t="n">
        <v>45911.65733796296</v>
      </c>
      <c r="C5925" s="1" t="n">
        <v>46011</v>
      </c>
      <c r="D5925" t="inlineStr">
        <is>
          <t>VÄSTRA GÖTALANDS LÄN</t>
        </is>
      </c>
      <c r="E5925" t="inlineStr">
        <is>
          <t>VÅRGÅRDA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43452-2025</t>
        </is>
      </c>
      <c r="B5926" s="1" t="n">
        <v>45911.45792824074</v>
      </c>
      <c r="C5926" s="1" t="n">
        <v>46011</v>
      </c>
      <c r="D5926" t="inlineStr">
        <is>
          <t>VÄSTRA GÖTALANDS LÄN</t>
        </is>
      </c>
      <c r="E5926" t="inlineStr">
        <is>
          <t>MUNKEDAL</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27232-2023</t>
        </is>
      </c>
      <c r="B5927" s="1" t="n">
        <v>45096.5971412037</v>
      </c>
      <c r="C5927" s="1" t="n">
        <v>46011</v>
      </c>
      <c r="D5927" t="inlineStr">
        <is>
          <t>VÄSTRA GÖTALANDS LÄN</t>
        </is>
      </c>
      <c r="E5927" t="inlineStr">
        <is>
          <t>TIDAHOLM</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53379-2024</t>
        </is>
      </c>
      <c r="B5928" s="1" t="n">
        <v>45614.47459490741</v>
      </c>
      <c r="C5928" s="1" t="n">
        <v>46011</v>
      </c>
      <c r="D5928" t="inlineStr">
        <is>
          <t>VÄSTRA GÖTALANDS LÄN</t>
        </is>
      </c>
      <c r="E5928" t="inlineStr">
        <is>
          <t>TIDAHOLM</t>
        </is>
      </c>
      <c r="F5928" t="inlineStr">
        <is>
          <t>Sveaskog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55882-2021</t>
        </is>
      </c>
      <c r="B5929" s="1" t="n">
        <v>44476</v>
      </c>
      <c r="C5929" s="1" t="n">
        <v>46011</v>
      </c>
      <c r="D5929" t="inlineStr">
        <is>
          <t>VÄSTRA GÖTALANDS LÄN</t>
        </is>
      </c>
      <c r="E5929" t="inlineStr">
        <is>
          <t>BENGTSFORS</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30737-2025</t>
        </is>
      </c>
      <c r="B5930" s="1" t="n">
        <v>45831</v>
      </c>
      <c r="C5930" s="1" t="n">
        <v>46011</v>
      </c>
      <c r="D5930" t="inlineStr">
        <is>
          <t>VÄSTRA GÖTALANDS LÄN</t>
        </is>
      </c>
      <c r="E5930" t="inlineStr">
        <is>
          <t>FÄRGELANDA</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30772-2025</t>
        </is>
      </c>
      <c r="B5931" s="1" t="n">
        <v>45831.61435185185</v>
      </c>
      <c r="C5931" s="1" t="n">
        <v>46011</v>
      </c>
      <c r="D5931" t="inlineStr">
        <is>
          <t>VÄSTRA GÖTALANDS LÄN</t>
        </is>
      </c>
      <c r="E5931" t="inlineStr">
        <is>
          <t>KARLSBORG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43635-2025</t>
        </is>
      </c>
      <c r="B5932" s="1" t="n">
        <v>45911.71866898148</v>
      </c>
      <c r="C5932" s="1" t="n">
        <v>46011</v>
      </c>
      <c r="D5932" t="inlineStr">
        <is>
          <t>VÄSTRA GÖTALANDS LÄN</t>
        </is>
      </c>
      <c r="E5932" t="inlineStr">
        <is>
          <t>MARK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43642-2025</t>
        </is>
      </c>
      <c r="B5933" s="1" t="n">
        <v>45911.87665509259</v>
      </c>
      <c r="C5933" s="1" t="n">
        <v>46011</v>
      </c>
      <c r="D5933" t="inlineStr">
        <is>
          <t>VÄSTRA GÖTALANDS LÄN</t>
        </is>
      </c>
      <c r="E5933" t="inlineStr">
        <is>
          <t>SVENLJUNGA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30676-2025</t>
        </is>
      </c>
      <c r="B5934" s="1" t="n">
        <v>45831.52273148148</v>
      </c>
      <c r="C5934" s="1" t="n">
        <v>46011</v>
      </c>
      <c r="D5934" t="inlineStr">
        <is>
          <t>VÄSTRA GÖTALANDS LÄN</t>
        </is>
      </c>
      <c r="E5934" t="inlineStr">
        <is>
          <t>KARLSBORG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7946-2023</t>
        </is>
      </c>
      <c r="B5935" s="1" t="n">
        <v>44973.66755787037</v>
      </c>
      <c r="C5935" s="1" t="n">
        <v>46011</v>
      </c>
      <c r="D5935" t="inlineStr">
        <is>
          <t>VÄSTRA GÖTALANDS LÄN</t>
        </is>
      </c>
      <c r="E5935" t="inlineStr">
        <is>
          <t>SKARA</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693-2023</t>
        </is>
      </c>
      <c r="B5936" s="1" t="n">
        <v>44930.78516203703</v>
      </c>
      <c r="C5936" s="1" t="n">
        <v>46011</v>
      </c>
      <c r="D5936" t="inlineStr">
        <is>
          <t>VÄSTRA GÖTALANDS LÄN</t>
        </is>
      </c>
      <c r="E5936" t="inlineStr">
        <is>
          <t>TIDAHOLM</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31008-2025</t>
        </is>
      </c>
      <c r="B5937" s="1" t="n">
        <v>45832.50234953704</v>
      </c>
      <c r="C5937" s="1" t="n">
        <v>46011</v>
      </c>
      <c r="D5937" t="inlineStr">
        <is>
          <t>VÄSTRA GÖTALANDS LÄN</t>
        </is>
      </c>
      <c r="E5937" t="inlineStr">
        <is>
          <t>SVENLJUNGA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15727-2024</t>
        </is>
      </c>
      <c r="B5938" s="1" t="n">
        <v>45404.51903935185</v>
      </c>
      <c r="C5938" s="1" t="n">
        <v>46011</v>
      </c>
      <c r="D5938" t="inlineStr">
        <is>
          <t>VÄSTRA GÖTALANDS LÄN</t>
        </is>
      </c>
      <c r="E5938" t="inlineStr">
        <is>
          <t>BENGTSFORS</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43570-2025</t>
        </is>
      </c>
      <c r="B5939" s="1" t="n">
        <v>45911.63373842592</v>
      </c>
      <c r="C5939" s="1" t="n">
        <v>46011</v>
      </c>
      <c r="D5939" t="inlineStr">
        <is>
          <t>VÄSTRA GÖTALANDS LÄN</t>
        </is>
      </c>
      <c r="E5939" t="inlineStr">
        <is>
          <t>MARIESTAD</t>
        </is>
      </c>
      <c r="F5939" t="inlineStr">
        <is>
          <t>Sveaskog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48267-2024</t>
        </is>
      </c>
      <c r="B5940" s="1" t="n">
        <v>45590.42981481482</v>
      </c>
      <c r="C5940" s="1" t="n">
        <v>46011</v>
      </c>
      <c r="D5940" t="inlineStr">
        <is>
          <t>VÄSTRA GÖTALANDS LÄN</t>
        </is>
      </c>
      <c r="E5940" t="inlineStr">
        <is>
          <t>MARIESTAD</t>
        </is>
      </c>
      <c r="F5940" t="inlineStr">
        <is>
          <t>Kyrkan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31158-2025</t>
        </is>
      </c>
      <c r="B5941" s="1" t="n">
        <v>45832.65253472222</v>
      </c>
      <c r="C5941" s="1" t="n">
        <v>46011</v>
      </c>
      <c r="D5941" t="inlineStr">
        <is>
          <t>VÄSTRA GÖTALANDS LÄN</t>
        </is>
      </c>
      <c r="E5941" t="inlineStr">
        <is>
          <t>FÄRGELANDA</t>
        </is>
      </c>
      <c r="G5941" t="n">
        <v>12.3</v>
      </c>
      <c r="H5941" t="n">
        <v>0</v>
      </c>
      <c r="I5941" t="n">
        <v>0</v>
      </c>
      <c r="J5941" t="n">
        <v>0</v>
      </c>
      <c r="K5941" t="n">
        <v>0</v>
      </c>
      <c r="L5941" t="n">
        <v>0</v>
      </c>
      <c r="M5941" t="n">
        <v>0</v>
      </c>
      <c r="N5941" t="n">
        <v>0</v>
      </c>
      <c r="O5941" t="n">
        <v>0</v>
      </c>
      <c r="P5941" t="n">
        <v>0</v>
      </c>
      <c r="Q5941" t="n">
        <v>0</v>
      </c>
      <c r="R5941" s="2" t="inlineStr"/>
    </row>
    <row r="5942" ht="15" customHeight="1">
      <c r="A5942" t="inlineStr">
        <is>
          <t>A 43575-2025</t>
        </is>
      </c>
      <c r="B5942" s="1" t="n">
        <v>45911.63979166667</v>
      </c>
      <c r="C5942" s="1" t="n">
        <v>46011</v>
      </c>
      <c r="D5942" t="inlineStr">
        <is>
          <t>VÄSTRA GÖTALANDS LÄN</t>
        </is>
      </c>
      <c r="E5942" t="inlineStr">
        <is>
          <t>MARIESTAD</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20873-2024</t>
        </is>
      </c>
      <c r="B5943" s="1" t="n">
        <v>45439</v>
      </c>
      <c r="C5943" s="1" t="n">
        <v>46011</v>
      </c>
      <c r="D5943" t="inlineStr">
        <is>
          <t>VÄSTRA GÖTALANDS LÄN</t>
        </is>
      </c>
      <c r="E5943" t="inlineStr">
        <is>
          <t>TRANEMO</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3774-2021</t>
        </is>
      </c>
      <c r="B5944" s="1" t="n">
        <v>44221</v>
      </c>
      <c r="C5944" s="1" t="n">
        <v>46011</v>
      </c>
      <c r="D5944" t="inlineStr">
        <is>
          <t>VÄSTRA GÖTALANDS LÄN</t>
        </is>
      </c>
      <c r="E5944" t="inlineStr">
        <is>
          <t>ULRICEHAMN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20912-2024</t>
        </is>
      </c>
      <c r="B5945" s="1" t="n">
        <v>45439.49229166667</v>
      </c>
      <c r="C5945" s="1" t="n">
        <v>46011</v>
      </c>
      <c r="D5945" t="inlineStr">
        <is>
          <t>VÄSTRA GÖTALANDS LÄN</t>
        </is>
      </c>
      <c r="E5945" t="inlineStr">
        <is>
          <t>SKÖVDE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31210-2025</t>
        </is>
      </c>
      <c r="B5946" s="1" t="n">
        <v>45832.71377314815</v>
      </c>
      <c r="C5946" s="1" t="n">
        <v>46011</v>
      </c>
      <c r="D5946" t="inlineStr">
        <is>
          <t>VÄSTRA GÖTALANDS LÄN</t>
        </is>
      </c>
      <c r="E5946" t="inlineStr">
        <is>
          <t>BORÅS</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61904-2022</t>
        </is>
      </c>
      <c r="B5947" s="1" t="n">
        <v>44917.73387731481</v>
      </c>
      <c r="C5947" s="1" t="n">
        <v>46011</v>
      </c>
      <c r="D5947" t="inlineStr">
        <is>
          <t>VÄSTRA GÖTALANDS LÄN</t>
        </is>
      </c>
      <c r="E5947" t="inlineStr">
        <is>
          <t>VÅRGÅRDA</t>
        </is>
      </c>
      <c r="F5947" t="inlineStr">
        <is>
          <t>Kyrkan</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61907-2022</t>
        </is>
      </c>
      <c r="B5948" s="1" t="n">
        <v>44917.73603009259</v>
      </c>
      <c r="C5948" s="1" t="n">
        <v>46011</v>
      </c>
      <c r="D5948" t="inlineStr">
        <is>
          <t>VÄSTRA GÖTALANDS LÄN</t>
        </is>
      </c>
      <c r="E5948" t="inlineStr">
        <is>
          <t>VÅRGÅRDA</t>
        </is>
      </c>
      <c r="F5948" t="inlineStr">
        <is>
          <t>Kyrkan</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61914-2022</t>
        </is>
      </c>
      <c r="B5949" s="1" t="n">
        <v>44917.75925925926</v>
      </c>
      <c r="C5949" s="1" t="n">
        <v>46011</v>
      </c>
      <c r="D5949" t="inlineStr">
        <is>
          <t>VÄSTRA GÖTALANDS LÄN</t>
        </is>
      </c>
      <c r="E5949" t="inlineStr">
        <is>
          <t>FÄRGELANDA</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36231-2023</t>
        </is>
      </c>
      <c r="B5950" s="1" t="n">
        <v>45150.39050925926</v>
      </c>
      <c r="C5950" s="1" t="n">
        <v>46011</v>
      </c>
      <c r="D5950" t="inlineStr">
        <is>
          <t>VÄSTRA GÖTALANDS LÄN</t>
        </is>
      </c>
      <c r="E5950" t="inlineStr">
        <is>
          <t>DALS-ED</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36304-2023</t>
        </is>
      </c>
      <c r="B5951" s="1" t="n">
        <v>45152.37777777778</v>
      </c>
      <c r="C5951" s="1" t="n">
        <v>46011</v>
      </c>
      <c r="D5951" t="inlineStr">
        <is>
          <t>VÄSTRA GÖTALANDS LÄN</t>
        </is>
      </c>
      <c r="E5951" t="inlineStr">
        <is>
          <t>GÖTENE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49290-2024</t>
        </is>
      </c>
      <c r="B5952" s="1" t="n">
        <v>45595.53287037037</v>
      </c>
      <c r="C5952" s="1" t="n">
        <v>46011</v>
      </c>
      <c r="D5952" t="inlineStr">
        <is>
          <t>VÄSTRA GÖTALANDS LÄN</t>
        </is>
      </c>
      <c r="E5952" t="inlineStr">
        <is>
          <t>DALS-ED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45744-2024</t>
        </is>
      </c>
      <c r="B5953" s="1" t="n">
        <v>45579.62533564815</v>
      </c>
      <c r="C5953" s="1" t="n">
        <v>46011</v>
      </c>
      <c r="D5953" t="inlineStr">
        <is>
          <t>VÄSTRA GÖTALANDS LÄN</t>
        </is>
      </c>
      <c r="E5953" t="inlineStr">
        <is>
          <t>TANUM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49322-2024</t>
        </is>
      </c>
      <c r="B5954" s="1" t="n">
        <v>45595.56956018518</v>
      </c>
      <c r="C5954" s="1" t="n">
        <v>46011</v>
      </c>
      <c r="D5954" t="inlineStr">
        <is>
          <t>VÄSTRA GÖTALANDS LÄN</t>
        </is>
      </c>
      <c r="E5954" t="inlineStr">
        <is>
          <t>TRANEMO</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5739-2022</t>
        </is>
      </c>
      <c r="B5955" s="1" t="n">
        <v>44596</v>
      </c>
      <c r="C5955" s="1" t="n">
        <v>46011</v>
      </c>
      <c r="D5955" t="inlineStr">
        <is>
          <t>VÄSTRA GÖTALANDS LÄN</t>
        </is>
      </c>
      <c r="E5955" t="inlineStr">
        <is>
          <t>MARK</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43834-2025</t>
        </is>
      </c>
      <c r="B5956" s="1" t="n">
        <v>45912</v>
      </c>
      <c r="C5956" s="1" t="n">
        <v>46011</v>
      </c>
      <c r="D5956" t="inlineStr">
        <is>
          <t>VÄSTRA GÖTALANDS LÄN</t>
        </is>
      </c>
      <c r="E5956" t="inlineStr">
        <is>
          <t>MUNKEDAL</t>
        </is>
      </c>
      <c r="F5956" t="inlineStr">
        <is>
          <t>Övriga Aktiebolag</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31099-2025</t>
        </is>
      </c>
      <c r="B5957" s="1" t="n">
        <v>45832.59876157407</v>
      </c>
      <c r="C5957" s="1" t="n">
        <v>46011</v>
      </c>
      <c r="D5957" t="inlineStr">
        <is>
          <t>VÄSTRA GÖTALANDS LÄN</t>
        </is>
      </c>
      <c r="E5957" t="inlineStr">
        <is>
          <t>SVENLJUNGA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4274-2024</t>
        </is>
      </c>
      <c r="B5958" s="1" t="n">
        <v>45324</v>
      </c>
      <c r="C5958" s="1" t="n">
        <v>46011</v>
      </c>
      <c r="D5958" t="inlineStr">
        <is>
          <t>VÄSTRA GÖTALANDS LÄN</t>
        </is>
      </c>
      <c r="E5958" t="inlineStr">
        <is>
          <t>ULRICEHAMN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4282-2024</t>
        </is>
      </c>
      <c r="B5959" s="1" t="n">
        <v>45324.58748842592</v>
      </c>
      <c r="C5959" s="1" t="n">
        <v>46011</v>
      </c>
      <c r="D5959" t="inlineStr">
        <is>
          <t>VÄSTRA GÖTALANDS LÄN</t>
        </is>
      </c>
      <c r="E5959" t="inlineStr">
        <is>
          <t>ULRICEHAMN</t>
        </is>
      </c>
      <c r="F5959" t="inlineStr">
        <is>
          <t>Kyrkan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4304-2024</t>
        </is>
      </c>
      <c r="B5960" s="1" t="n">
        <v>45324</v>
      </c>
      <c r="C5960" s="1" t="n">
        <v>46011</v>
      </c>
      <c r="D5960" t="inlineStr">
        <is>
          <t>VÄSTRA GÖTALANDS LÄN</t>
        </is>
      </c>
      <c r="E5960" t="inlineStr">
        <is>
          <t>MARK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20662-2025</t>
        </is>
      </c>
      <c r="B5961" s="1" t="n">
        <v>45776</v>
      </c>
      <c r="C5961" s="1" t="n">
        <v>46011</v>
      </c>
      <c r="D5961" t="inlineStr">
        <is>
          <t>VÄSTRA GÖTALANDS LÄN</t>
        </is>
      </c>
      <c r="E5961" t="inlineStr">
        <is>
          <t>GULLSPÅNG</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36120-2021</t>
        </is>
      </c>
      <c r="B5962" s="1" t="n">
        <v>44389</v>
      </c>
      <c r="C5962" s="1" t="n">
        <v>46011</v>
      </c>
      <c r="D5962" t="inlineStr">
        <is>
          <t>VÄSTRA GÖTALANDS LÄN</t>
        </is>
      </c>
      <c r="E5962" t="inlineStr">
        <is>
          <t>ALINGSÅS</t>
        </is>
      </c>
      <c r="F5962" t="inlineStr">
        <is>
          <t>Allmännings- och besparingsskogar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36224-2021</t>
        </is>
      </c>
      <c r="B5963" s="1" t="n">
        <v>44389</v>
      </c>
      <c r="C5963" s="1" t="n">
        <v>46011</v>
      </c>
      <c r="D5963" t="inlineStr">
        <is>
          <t>VÄSTRA GÖTALANDS LÄN</t>
        </is>
      </c>
      <c r="E5963" t="inlineStr">
        <is>
          <t>BORÅS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43464-2025</t>
        </is>
      </c>
      <c r="B5964" s="1" t="n">
        <v>45911.47094907407</v>
      </c>
      <c r="C5964" s="1" t="n">
        <v>46011</v>
      </c>
      <c r="D5964" t="inlineStr">
        <is>
          <t>VÄSTRA GÖTALANDS LÄN</t>
        </is>
      </c>
      <c r="E5964" t="inlineStr">
        <is>
          <t>TIDAHOLM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30697-2025</t>
        </is>
      </c>
      <c r="B5965" s="1" t="n">
        <v>45831.5425462963</v>
      </c>
      <c r="C5965" s="1" t="n">
        <v>46011</v>
      </c>
      <c r="D5965" t="inlineStr">
        <is>
          <t>VÄSTRA GÖTALANDS LÄN</t>
        </is>
      </c>
      <c r="E5965" t="inlineStr">
        <is>
          <t>SVENLJUNGA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49118-2024</t>
        </is>
      </c>
      <c r="B5966" s="1" t="n">
        <v>45594.66445601852</v>
      </c>
      <c r="C5966" s="1" t="n">
        <v>46011</v>
      </c>
      <c r="D5966" t="inlineStr">
        <is>
          <t>VÄSTRA GÖTALANDS LÄN</t>
        </is>
      </c>
      <c r="E5966" t="inlineStr">
        <is>
          <t>GULLSPÅNG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31584-2025</t>
        </is>
      </c>
      <c r="B5967" s="1" t="n">
        <v>45833.68732638889</v>
      </c>
      <c r="C5967" s="1" t="n">
        <v>46011</v>
      </c>
      <c r="D5967" t="inlineStr">
        <is>
          <t>VÄSTRA GÖTALANDS LÄN</t>
        </is>
      </c>
      <c r="E5967" t="inlineStr">
        <is>
          <t>BENGTSFORS</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49159-2024</t>
        </is>
      </c>
      <c r="B5968" s="1" t="n">
        <v>45594.84241898148</v>
      </c>
      <c r="C5968" s="1" t="n">
        <v>46011</v>
      </c>
      <c r="D5968" t="inlineStr">
        <is>
          <t>VÄSTRA GÖTALANDS LÄN</t>
        </is>
      </c>
      <c r="E5968" t="inlineStr">
        <is>
          <t>TIDAHOLM</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49160-2024</t>
        </is>
      </c>
      <c r="B5969" s="1" t="n">
        <v>45594.86378472222</v>
      </c>
      <c r="C5969" s="1" t="n">
        <v>46011</v>
      </c>
      <c r="D5969" t="inlineStr">
        <is>
          <t>VÄSTRA GÖTALANDS LÄN</t>
        </is>
      </c>
      <c r="E5969" t="inlineStr">
        <is>
          <t>TRANEMO</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31617-2025</t>
        </is>
      </c>
      <c r="B5970" s="1" t="n">
        <v>45833</v>
      </c>
      <c r="C5970" s="1" t="n">
        <v>46011</v>
      </c>
      <c r="D5970" t="inlineStr">
        <is>
          <t>VÄSTRA GÖTALANDS LÄN</t>
        </is>
      </c>
      <c r="E5970" t="inlineStr">
        <is>
          <t>ORUST</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7783-2023</t>
        </is>
      </c>
      <c r="B5971" s="1" t="n">
        <v>44973</v>
      </c>
      <c r="C5971" s="1" t="n">
        <v>46011</v>
      </c>
      <c r="D5971" t="inlineStr">
        <is>
          <t>VÄSTRA GÖTALANDS LÄN</t>
        </is>
      </c>
      <c r="E5971" t="inlineStr">
        <is>
          <t>TROLLHÄTTAN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26724-2025</t>
        </is>
      </c>
      <c r="B5972" s="1" t="n">
        <v>45810.49170138889</v>
      </c>
      <c r="C5972" s="1" t="n">
        <v>46011</v>
      </c>
      <c r="D5972" t="inlineStr">
        <is>
          <t>VÄSTRA GÖTALANDS LÄN</t>
        </is>
      </c>
      <c r="E5972" t="inlineStr">
        <is>
          <t>TRANEMO</t>
        </is>
      </c>
      <c r="F5972" t="inlineStr">
        <is>
          <t>Kyrkan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43482-2025</t>
        </is>
      </c>
      <c r="B5973" s="1" t="n">
        <v>45911.50141203704</v>
      </c>
      <c r="C5973" s="1" t="n">
        <v>46011</v>
      </c>
      <c r="D5973" t="inlineStr">
        <is>
          <t>VÄSTRA GÖTALANDS LÄN</t>
        </is>
      </c>
      <c r="E5973" t="inlineStr">
        <is>
          <t>MARK</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41714-2024</t>
        </is>
      </c>
      <c r="B5974" s="1" t="n">
        <v>45560.72877314815</v>
      </c>
      <c r="C5974" s="1" t="n">
        <v>46011</v>
      </c>
      <c r="D5974" t="inlineStr">
        <is>
          <t>VÄSTRA GÖTALANDS LÄN</t>
        </is>
      </c>
      <c r="E5974" t="inlineStr">
        <is>
          <t>MUNKEDAL</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7093-2024</t>
        </is>
      </c>
      <c r="B5975" s="1" t="n">
        <v>45343</v>
      </c>
      <c r="C5975" s="1" t="n">
        <v>46011</v>
      </c>
      <c r="D5975" t="inlineStr">
        <is>
          <t>VÄSTRA GÖTALANDS LÄN</t>
        </is>
      </c>
      <c r="E5975" t="inlineStr">
        <is>
          <t>TÖREBODA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43550-2025</t>
        </is>
      </c>
      <c r="B5976" s="1" t="n">
        <v>45911.61836805556</v>
      </c>
      <c r="C5976" s="1" t="n">
        <v>46011</v>
      </c>
      <c r="D5976" t="inlineStr">
        <is>
          <t>VÄSTRA GÖTALANDS LÄN</t>
        </is>
      </c>
      <c r="E5976" t="inlineStr">
        <is>
          <t>STRÖMSTAD</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43573-2025</t>
        </is>
      </c>
      <c r="B5977" s="1" t="n">
        <v>45911.63810185185</v>
      </c>
      <c r="C5977" s="1" t="n">
        <v>46011</v>
      </c>
      <c r="D5977" t="inlineStr">
        <is>
          <t>VÄSTRA GÖTALANDS LÄN</t>
        </is>
      </c>
      <c r="E5977" t="inlineStr">
        <is>
          <t>MARIESTAD</t>
        </is>
      </c>
      <c r="F5977" t="inlineStr">
        <is>
          <t>Sveaskog</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43537-2025</t>
        </is>
      </c>
      <c r="B5978" s="1" t="n">
        <v>45911.60040509259</v>
      </c>
      <c r="C5978" s="1" t="n">
        <v>46011</v>
      </c>
      <c r="D5978" t="inlineStr">
        <is>
          <t>VÄSTRA GÖTALANDS LÄN</t>
        </is>
      </c>
      <c r="E5978" t="inlineStr">
        <is>
          <t>SVENLJUNGA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31405-2025</t>
        </is>
      </c>
      <c r="B5979" s="1" t="n">
        <v>45833.47336805556</v>
      </c>
      <c r="C5979" s="1" t="n">
        <v>46011</v>
      </c>
      <c r="D5979" t="inlineStr">
        <is>
          <t>VÄSTRA GÖTALANDS LÄN</t>
        </is>
      </c>
      <c r="E5979" t="inlineStr">
        <is>
          <t>ULRICEHAMN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7094-2024</t>
        </is>
      </c>
      <c r="B5980" s="1" t="n">
        <v>45343</v>
      </c>
      <c r="C5980" s="1" t="n">
        <v>46011</v>
      </c>
      <c r="D5980" t="inlineStr">
        <is>
          <t>VÄSTRA GÖTALANDS LÄN</t>
        </is>
      </c>
      <c r="E5980" t="inlineStr">
        <is>
          <t>ULRICEHAMN</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31407-2025</t>
        </is>
      </c>
      <c r="B5981" s="1" t="n">
        <v>45833</v>
      </c>
      <c r="C5981" s="1" t="n">
        <v>46011</v>
      </c>
      <c r="D5981" t="inlineStr">
        <is>
          <t>VÄSTRA GÖTALANDS LÄN</t>
        </is>
      </c>
      <c r="E5981" t="inlineStr">
        <is>
          <t>ALE</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31409-2025</t>
        </is>
      </c>
      <c r="B5982" s="1" t="n">
        <v>45833</v>
      </c>
      <c r="C5982" s="1" t="n">
        <v>46011</v>
      </c>
      <c r="D5982" t="inlineStr">
        <is>
          <t>VÄSTRA GÖTALANDS LÄN</t>
        </is>
      </c>
      <c r="E5982" t="inlineStr">
        <is>
          <t>ALE</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31410-2025</t>
        </is>
      </c>
      <c r="B5983" s="1" t="n">
        <v>45833.4774537037</v>
      </c>
      <c r="C5983" s="1" t="n">
        <v>46011</v>
      </c>
      <c r="D5983" t="inlineStr">
        <is>
          <t>VÄSTRA GÖTALANDS LÄN</t>
        </is>
      </c>
      <c r="E5983" t="inlineStr">
        <is>
          <t>ULRICEHAMN</t>
        </is>
      </c>
      <c r="F5983" t="inlineStr">
        <is>
          <t>Sveaskog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31533-2025</t>
        </is>
      </c>
      <c r="B5984" s="1" t="n">
        <v>45833</v>
      </c>
      <c r="C5984" s="1" t="n">
        <v>46011</v>
      </c>
      <c r="D5984" t="inlineStr">
        <is>
          <t>VÄSTRA GÖTALANDS LÄN</t>
        </is>
      </c>
      <c r="E5984" t="inlineStr">
        <is>
          <t>ALE</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43833-2025</t>
        </is>
      </c>
      <c r="B5985" s="1" t="n">
        <v>45912.63038194444</v>
      </c>
      <c r="C5985" s="1" t="n">
        <v>46011</v>
      </c>
      <c r="D5985" t="inlineStr">
        <is>
          <t>VÄSTRA GÖTALANDS LÄN</t>
        </is>
      </c>
      <c r="E5985" t="inlineStr">
        <is>
          <t>ÅMÅL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31606-2025</t>
        </is>
      </c>
      <c r="B5986" s="1" t="n">
        <v>45833.75311342593</v>
      </c>
      <c r="C5986" s="1" t="n">
        <v>46011</v>
      </c>
      <c r="D5986" t="inlineStr">
        <is>
          <t>VÄSTRA GÖTALANDS LÄN</t>
        </is>
      </c>
      <c r="E5986" t="inlineStr">
        <is>
          <t>VARA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31629-2025</t>
        </is>
      </c>
      <c r="B5987" s="1" t="n">
        <v>45834.3266087963</v>
      </c>
      <c r="C5987" s="1" t="n">
        <v>46011</v>
      </c>
      <c r="D5987" t="inlineStr">
        <is>
          <t>VÄSTRA GÖTALANDS LÄN</t>
        </is>
      </c>
      <c r="E5987" t="inlineStr">
        <is>
          <t>VARA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31661-2025</t>
        </is>
      </c>
      <c r="B5988" s="1" t="n">
        <v>45834.35538194444</v>
      </c>
      <c r="C5988" s="1" t="n">
        <v>46011</v>
      </c>
      <c r="D5988" t="inlineStr">
        <is>
          <t>VÄSTRA GÖTALANDS LÄN</t>
        </is>
      </c>
      <c r="E5988" t="inlineStr">
        <is>
          <t>TÖREBODA</t>
        </is>
      </c>
      <c r="F5988" t="inlineStr">
        <is>
          <t>Sveaskog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31683-2025</t>
        </is>
      </c>
      <c r="B5989" s="1" t="n">
        <v>45834.38971064815</v>
      </c>
      <c r="C5989" s="1" t="n">
        <v>46011</v>
      </c>
      <c r="D5989" t="inlineStr">
        <is>
          <t>VÄSTRA GÖTALANDS LÄN</t>
        </is>
      </c>
      <c r="E5989" t="inlineStr">
        <is>
          <t>TANUM</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17927-2024</t>
        </is>
      </c>
      <c r="B5990" s="1" t="n">
        <v>45419.60194444445</v>
      </c>
      <c r="C5990" s="1" t="n">
        <v>46011</v>
      </c>
      <c r="D5990" t="inlineStr">
        <is>
          <t>VÄSTRA GÖTALANDS LÄN</t>
        </is>
      </c>
      <c r="E5990" t="inlineStr">
        <is>
          <t>MARK</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43524-2025</t>
        </is>
      </c>
      <c r="B5991" s="1" t="n">
        <v>45911.58439814814</v>
      </c>
      <c r="C5991" s="1" t="n">
        <v>46011</v>
      </c>
      <c r="D5991" t="inlineStr">
        <is>
          <t>VÄSTRA GÖTALANDS LÄN</t>
        </is>
      </c>
      <c r="E5991" t="inlineStr">
        <is>
          <t>MARIESTAD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43543-2025</t>
        </is>
      </c>
      <c r="B5992" s="1" t="n">
        <v>45911.61206018519</v>
      </c>
      <c r="C5992" s="1" t="n">
        <v>46011</v>
      </c>
      <c r="D5992" t="inlineStr">
        <is>
          <t>VÄSTRA GÖTALANDS LÄN</t>
        </is>
      </c>
      <c r="E5992" t="inlineStr">
        <is>
          <t>SVENLJUNGA</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43552-2025</t>
        </is>
      </c>
      <c r="B5993" s="1" t="n">
        <v>45911.6202662037</v>
      </c>
      <c r="C5993" s="1" t="n">
        <v>46011</v>
      </c>
      <c r="D5993" t="inlineStr">
        <is>
          <t>VÄSTRA GÖTALANDS LÄN</t>
        </is>
      </c>
      <c r="E5993" t="inlineStr">
        <is>
          <t>UDDEVALLA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31736-2025</t>
        </is>
      </c>
      <c r="B5994" s="1" t="n">
        <v>45834.47128472223</v>
      </c>
      <c r="C5994" s="1" t="n">
        <v>46011</v>
      </c>
      <c r="D5994" t="inlineStr">
        <is>
          <t>VÄSTRA GÖTALANDS LÄN</t>
        </is>
      </c>
      <c r="E5994" t="inlineStr">
        <is>
          <t>TANUM</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43478-2025</t>
        </is>
      </c>
      <c r="B5995" s="1" t="n">
        <v>45911.49384259259</v>
      </c>
      <c r="C5995" s="1" t="n">
        <v>46011</v>
      </c>
      <c r="D5995" t="inlineStr">
        <is>
          <t>VÄSTRA GÖTALANDS LÄN</t>
        </is>
      </c>
      <c r="E5995" t="inlineStr">
        <is>
          <t>ULRICEHAMN</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53004-2021</t>
        </is>
      </c>
      <c r="B5996" s="1" t="n">
        <v>44467.65137731482</v>
      </c>
      <c r="C5996" s="1" t="n">
        <v>46011</v>
      </c>
      <c r="D5996" t="inlineStr">
        <is>
          <t>VÄSTRA GÖTALANDS LÄN</t>
        </is>
      </c>
      <c r="E5996" t="inlineStr">
        <is>
          <t>MARK</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20545-2024</t>
        </is>
      </c>
      <c r="B5997" s="1" t="n">
        <v>45436</v>
      </c>
      <c r="C5997" s="1" t="n">
        <v>46011</v>
      </c>
      <c r="D5997" t="inlineStr">
        <is>
          <t>VÄSTRA GÖTALANDS LÄN</t>
        </is>
      </c>
      <c r="E5997" t="inlineStr">
        <is>
          <t>GULLSPÅNG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31464-2025</t>
        </is>
      </c>
      <c r="B5998" s="1" t="n">
        <v>45833</v>
      </c>
      <c r="C5998" s="1" t="n">
        <v>46011</v>
      </c>
      <c r="D5998" t="inlineStr">
        <is>
          <t>VÄSTRA GÖTALANDS LÄN</t>
        </is>
      </c>
      <c r="E5998" t="inlineStr">
        <is>
          <t>TROLLHÄTTAN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31488-2025</t>
        </is>
      </c>
      <c r="B5999" s="1" t="n">
        <v>45833</v>
      </c>
      <c r="C5999" s="1" t="n">
        <v>46011</v>
      </c>
      <c r="D5999" t="inlineStr">
        <is>
          <t>VÄSTRA GÖTALANDS LÄN</t>
        </is>
      </c>
      <c r="E5999" t="inlineStr">
        <is>
          <t>ALE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31807-2025</t>
        </is>
      </c>
      <c r="B6000" s="1" t="n">
        <v>45834.55466435185</v>
      </c>
      <c r="C6000" s="1" t="n">
        <v>46011</v>
      </c>
      <c r="D6000" t="inlineStr">
        <is>
          <t>VÄSTRA GÖTALANDS LÄN</t>
        </is>
      </c>
      <c r="E6000" t="inlineStr">
        <is>
          <t>SVENLJUNGA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43532-2025</t>
        </is>
      </c>
      <c r="B6001" s="1" t="n">
        <v>45911.59709490741</v>
      </c>
      <c r="C6001" s="1" t="n">
        <v>46011</v>
      </c>
      <c r="D6001" t="inlineStr">
        <is>
          <t>VÄSTRA GÖTALANDS LÄN</t>
        </is>
      </c>
      <c r="E6001" t="inlineStr">
        <is>
          <t>SVENLJUNGA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43376-2025</t>
        </is>
      </c>
      <c r="B6002" s="1" t="n">
        <v>45911.35574074074</v>
      </c>
      <c r="C6002" s="1" t="n">
        <v>46011</v>
      </c>
      <c r="D6002" t="inlineStr">
        <is>
          <t>VÄSTRA GÖTALANDS LÄN</t>
        </is>
      </c>
      <c r="E6002" t="inlineStr">
        <is>
          <t>DALS-ED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29872-2025</t>
        </is>
      </c>
      <c r="B6003" s="1" t="n">
        <v>45826.35928240741</v>
      </c>
      <c r="C6003" s="1" t="n">
        <v>46011</v>
      </c>
      <c r="D6003" t="inlineStr">
        <is>
          <t>VÄSTRA GÖTALANDS LÄN</t>
        </is>
      </c>
      <c r="E6003" t="inlineStr">
        <is>
          <t>MARK</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43349-2024</t>
        </is>
      </c>
      <c r="B6004" s="1" t="n">
        <v>45568.55829861111</v>
      </c>
      <c r="C6004" s="1" t="n">
        <v>46011</v>
      </c>
      <c r="D6004" t="inlineStr">
        <is>
          <t>VÄSTRA GÖTALANDS LÄN</t>
        </is>
      </c>
      <c r="E6004" t="inlineStr">
        <is>
          <t>MELLERUD</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43353-2024</t>
        </is>
      </c>
      <c r="B6005" s="1" t="n">
        <v>45568.56689814815</v>
      </c>
      <c r="C6005" s="1" t="n">
        <v>46011</v>
      </c>
      <c r="D6005" t="inlineStr">
        <is>
          <t>VÄSTRA GÖTALANDS LÄN</t>
        </is>
      </c>
      <c r="E6005" t="inlineStr">
        <is>
          <t>MELLERUD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68906-2020</t>
        </is>
      </c>
      <c r="B6006" s="1" t="n">
        <v>44187</v>
      </c>
      <c r="C6006" s="1" t="n">
        <v>46011</v>
      </c>
      <c r="D6006" t="inlineStr">
        <is>
          <t>VÄSTRA GÖTALANDS LÄN</t>
        </is>
      </c>
      <c r="E6006" t="inlineStr">
        <is>
          <t>LIDKÖPING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13122-2025</t>
        </is>
      </c>
      <c r="B6007" s="1" t="n">
        <v>45734.80390046296</v>
      </c>
      <c r="C6007" s="1" t="n">
        <v>46011</v>
      </c>
      <c r="D6007" t="inlineStr">
        <is>
          <t>VÄSTRA GÖTALANDS LÄN</t>
        </is>
      </c>
      <c r="E6007" t="inlineStr">
        <is>
          <t>VÅRGÅRDA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1388-2024</t>
        </is>
      </c>
      <c r="B6008" s="1" t="n">
        <v>45303</v>
      </c>
      <c r="C6008" s="1" t="n">
        <v>46011</v>
      </c>
      <c r="D6008" t="inlineStr">
        <is>
          <t>VÄSTRA GÖTALANDS LÄN</t>
        </is>
      </c>
      <c r="E6008" t="inlineStr">
        <is>
          <t>FALKÖPING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31625-2025</t>
        </is>
      </c>
      <c r="B6009" s="1" t="n">
        <v>45834.29967592593</v>
      </c>
      <c r="C6009" s="1" t="n">
        <v>46011</v>
      </c>
      <c r="D6009" t="inlineStr">
        <is>
          <t>VÄSTRA GÖTALANDS LÄN</t>
        </is>
      </c>
      <c r="E6009" t="inlineStr">
        <is>
          <t>STENUNGSUND</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14599-2025</t>
        </is>
      </c>
      <c r="B6010" s="1" t="n">
        <v>45742.36256944444</v>
      </c>
      <c r="C6010" s="1" t="n">
        <v>46011</v>
      </c>
      <c r="D6010" t="inlineStr">
        <is>
          <t>VÄSTRA GÖTALANDS LÄN</t>
        </is>
      </c>
      <c r="E6010" t="inlineStr">
        <is>
          <t>ULRICEHAMN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31687-2025</t>
        </is>
      </c>
      <c r="B6011" s="1" t="n">
        <v>45834.39827546296</v>
      </c>
      <c r="C6011" s="1" t="n">
        <v>46011</v>
      </c>
      <c r="D6011" t="inlineStr">
        <is>
          <t>VÄSTRA GÖTALANDS LÄN</t>
        </is>
      </c>
      <c r="E6011" t="inlineStr">
        <is>
          <t>LERUM</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31457-2025</t>
        </is>
      </c>
      <c r="B6012" s="1" t="n">
        <v>45833.54055555556</v>
      </c>
      <c r="C6012" s="1" t="n">
        <v>46011</v>
      </c>
      <c r="D6012" t="inlineStr">
        <is>
          <t>VÄSTRA GÖTALANDS LÄN</t>
        </is>
      </c>
      <c r="E6012" t="inlineStr">
        <is>
          <t>MARK</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31475-2025</t>
        </is>
      </c>
      <c r="B6013" s="1" t="n">
        <v>45833.56820601852</v>
      </c>
      <c r="C6013" s="1" t="n">
        <v>46011</v>
      </c>
      <c r="D6013" t="inlineStr">
        <is>
          <t>VÄSTRA GÖTALANDS LÄN</t>
        </is>
      </c>
      <c r="E6013" t="inlineStr">
        <is>
          <t>BENGTSFORS</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11460-2024</t>
        </is>
      </c>
      <c r="B6014" s="1" t="n">
        <v>45372.58478009259</v>
      </c>
      <c r="C6014" s="1" t="n">
        <v>46011</v>
      </c>
      <c r="D6014" t="inlineStr">
        <is>
          <t>VÄSTRA GÖTALANDS LÄN</t>
        </is>
      </c>
      <c r="E6014" t="inlineStr">
        <is>
          <t>TROLLHÄTTAN</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38676-2024</t>
        </is>
      </c>
      <c r="B6015" s="1" t="n">
        <v>45547.33547453704</v>
      </c>
      <c r="C6015" s="1" t="n">
        <v>46011</v>
      </c>
      <c r="D6015" t="inlineStr">
        <is>
          <t>VÄSTRA GÖTALANDS LÄN</t>
        </is>
      </c>
      <c r="E6015" t="inlineStr">
        <is>
          <t>BORÅS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38678-2024</t>
        </is>
      </c>
      <c r="B6016" s="1" t="n">
        <v>45547.34216435185</v>
      </c>
      <c r="C6016" s="1" t="n">
        <v>46011</v>
      </c>
      <c r="D6016" t="inlineStr">
        <is>
          <t>VÄSTRA GÖTALANDS LÄN</t>
        </is>
      </c>
      <c r="E6016" t="inlineStr">
        <is>
          <t>SVENLJUNGA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38681-2024</t>
        </is>
      </c>
      <c r="B6017" s="1" t="n">
        <v>45547.34479166667</v>
      </c>
      <c r="C6017" s="1" t="n">
        <v>46011</v>
      </c>
      <c r="D6017" t="inlineStr">
        <is>
          <t>VÄSTRA GÖTALANDS LÄN</t>
        </is>
      </c>
      <c r="E6017" t="inlineStr">
        <is>
          <t>SVENLJUNGA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38730-2024</t>
        </is>
      </c>
      <c r="B6018" s="1" t="n">
        <v>45547.40618055555</v>
      </c>
      <c r="C6018" s="1" t="n">
        <v>46011</v>
      </c>
      <c r="D6018" t="inlineStr">
        <is>
          <t>VÄSTRA GÖTALANDS LÄN</t>
        </is>
      </c>
      <c r="E6018" t="inlineStr">
        <is>
          <t>ULRICEHAMN</t>
        </is>
      </c>
      <c r="F6018" t="inlineStr">
        <is>
          <t>Sveaskog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38733-2024</t>
        </is>
      </c>
      <c r="B6019" s="1" t="n">
        <v>45547.41038194444</v>
      </c>
      <c r="C6019" s="1" t="n">
        <v>46011</v>
      </c>
      <c r="D6019" t="inlineStr">
        <is>
          <t>VÄSTRA GÖTALANDS LÄN</t>
        </is>
      </c>
      <c r="E6019" t="inlineStr">
        <is>
          <t>ULRICEHAMN</t>
        </is>
      </c>
      <c r="F6019" t="inlineStr">
        <is>
          <t>Sveaskog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38734-2024</t>
        </is>
      </c>
      <c r="B6020" s="1" t="n">
        <v>45547.41177083334</v>
      </c>
      <c r="C6020" s="1" t="n">
        <v>46011</v>
      </c>
      <c r="D6020" t="inlineStr">
        <is>
          <t>VÄSTRA GÖTALANDS LÄN</t>
        </is>
      </c>
      <c r="E6020" t="inlineStr">
        <is>
          <t>ULRICEHAMN</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47699-2024</t>
        </is>
      </c>
      <c r="B6021" s="1" t="n">
        <v>45588.46224537037</v>
      </c>
      <c r="C6021" s="1" t="n">
        <v>46011</v>
      </c>
      <c r="D6021" t="inlineStr">
        <is>
          <t>VÄSTRA GÖTALANDS LÄN</t>
        </is>
      </c>
      <c r="E6021" t="inlineStr">
        <is>
          <t>ÅMÅL</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34486-2025</t>
        </is>
      </c>
      <c r="B6022" s="1" t="n">
        <v>45847</v>
      </c>
      <c r="C6022" s="1" t="n">
        <v>46011</v>
      </c>
      <c r="D6022" t="inlineStr">
        <is>
          <t>VÄSTRA GÖTALANDS LÄN</t>
        </is>
      </c>
      <c r="E6022" t="inlineStr">
        <is>
          <t>ULRICEHAMN</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10356-2025</t>
        </is>
      </c>
      <c r="B6023" s="1" t="n">
        <v>45720.52783564815</v>
      </c>
      <c r="C6023" s="1" t="n">
        <v>46011</v>
      </c>
      <c r="D6023" t="inlineStr">
        <is>
          <t>VÄSTRA GÖTALANDS LÄN</t>
        </is>
      </c>
      <c r="E6023" t="inlineStr">
        <is>
          <t>MELLERUD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31384-2025</t>
        </is>
      </c>
      <c r="B6024" s="1" t="n">
        <v>45833.45099537037</v>
      </c>
      <c r="C6024" s="1" t="n">
        <v>46011</v>
      </c>
      <c r="D6024" t="inlineStr">
        <is>
          <t>VÄSTRA GÖTALANDS LÄN</t>
        </is>
      </c>
      <c r="E6024" t="inlineStr">
        <is>
          <t>ULRICEHAMN</t>
        </is>
      </c>
      <c r="F6024" t="inlineStr">
        <is>
          <t>Sveaskog</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43775-2025</t>
        </is>
      </c>
      <c r="B6025" s="1" t="n">
        <v>45912.50739583333</v>
      </c>
      <c r="C6025" s="1" t="n">
        <v>46011</v>
      </c>
      <c r="D6025" t="inlineStr">
        <is>
          <t>VÄSTRA GÖTALANDS LÄN</t>
        </is>
      </c>
      <c r="E6025" t="inlineStr">
        <is>
          <t>GULLSPÅNG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47817-2024</t>
        </is>
      </c>
      <c r="B6026" s="1" t="n">
        <v>45588.62341435185</v>
      </c>
      <c r="C6026" s="1" t="n">
        <v>46011</v>
      </c>
      <c r="D6026" t="inlineStr">
        <is>
          <t>VÄSTRA GÖTALANDS LÄN</t>
        </is>
      </c>
      <c r="E6026" t="inlineStr">
        <is>
          <t>SVENLJUNGA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2522-2023</t>
        </is>
      </c>
      <c r="B6027" s="1" t="n">
        <v>44943.5928587963</v>
      </c>
      <c r="C6027" s="1" t="n">
        <v>46011</v>
      </c>
      <c r="D6027" t="inlineStr">
        <is>
          <t>VÄSTRA GÖTALANDS LÄN</t>
        </is>
      </c>
      <c r="E6027" t="inlineStr">
        <is>
          <t>BENGTSFORS</t>
        </is>
      </c>
      <c r="G6027" t="n">
        <v>15.6</v>
      </c>
      <c r="H6027" t="n">
        <v>0</v>
      </c>
      <c r="I6027" t="n">
        <v>0</v>
      </c>
      <c r="J6027" t="n">
        <v>0</v>
      </c>
      <c r="K6027" t="n">
        <v>0</v>
      </c>
      <c r="L6027" t="n">
        <v>0</v>
      </c>
      <c r="M6027" t="n">
        <v>0</v>
      </c>
      <c r="N6027" t="n">
        <v>0</v>
      </c>
      <c r="O6027" t="n">
        <v>0</v>
      </c>
      <c r="P6027" t="n">
        <v>0</v>
      </c>
      <c r="Q6027" t="n">
        <v>0</v>
      </c>
      <c r="R6027" s="2" t="inlineStr"/>
    </row>
    <row r="6028" ht="15" customHeight="1">
      <c r="A6028" t="inlineStr">
        <is>
          <t>A 44315-2025</t>
        </is>
      </c>
      <c r="B6028" s="1" t="n">
        <v>45916.38990740741</v>
      </c>
      <c r="C6028" s="1" t="n">
        <v>46011</v>
      </c>
      <c r="D6028" t="inlineStr">
        <is>
          <t>VÄSTRA GÖTALANDS LÄN</t>
        </is>
      </c>
      <c r="E6028" t="inlineStr">
        <is>
          <t>BENGTSFORS</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44319-2025</t>
        </is>
      </c>
      <c r="B6029" s="1" t="n">
        <v>45916</v>
      </c>
      <c r="C6029" s="1" t="n">
        <v>46011</v>
      </c>
      <c r="D6029" t="inlineStr">
        <is>
          <t>VÄSTRA GÖTALANDS LÄN</t>
        </is>
      </c>
      <c r="E6029" t="inlineStr">
        <is>
          <t>STRÖMSTAD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44046-2025</t>
        </is>
      </c>
      <c r="B6030" s="1" t="n">
        <v>45915.49810185185</v>
      </c>
      <c r="C6030" s="1" t="n">
        <v>46011</v>
      </c>
      <c r="D6030" t="inlineStr">
        <is>
          <t>VÄSTRA GÖTALANDS LÄN</t>
        </is>
      </c>
      <c r="E6030" t="inlineStr">
        <is>
          <t>ÅMÅL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57358-2024</t>
        </is>
      </c>
      <c r="B6031" s="1" t="n">
        <v>45629.65530092592</v>
      </c>
      <c r="C6031" s="1" t="n">
        <v>46011</v>
      </c>
      <c r="D6031" t="inlineStr">
        <is>
          <t>VÄSTRA GÖTALANDS LÄN</t>
        </is>
      </c>
      <c r="E6031" t="inlineStr">
        <is>
          <t>TANUM</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49455-2023</t>
        </is>
      </c>
      <c r="B6032" s="1" t="n">
        <v>45211.50127314815</v>
      </c>
      <c r="C6032" s="1" t="n">
        <v>46011</v>
      </c>
      <c r="D6032" t="inlineStr">
        <is>
          <t>VÄSTRA GÖTALANDS LÄN</t>
        </is>
      </c>
      <c r="E6032" t="inlineStr">
        <is>
          <t>VÅRGÅRDA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49481-2023</t>
        </is>
      </c>
      <c r="B6033" s="1" t="n">
        <v>45211</v>
      </c>
      <c r="C6033" s="1" t="n">
        <v>46011</v>
      </c>
      <c r="D6033" t="inlineStr">
        <is>
          <t>VÄSTRA GÖTALANDS LÄN</t>
        </is>
      </c>
      <c r="E6033" t="inlineStr">
        <is>
          <t>VÄNERSBORG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3996-2021</t>
        </is>
      </c>
      <c r="B6034" s="1" t="n">
        <v>44221</v>
      </c>
      <c r="C6034" s="1" t="n">
        <v>46011</v>
      </c>
      <c r="D6034" t="inlineStr">
        <is>
          <t>VÄSTRA GÖTALANDS LÄN</t>
        </is>
      </c>
      <c r="E6034" t="inlineStr">
        <is>
          <t>SKÖVDE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44019-2025</t>
        </is>
      </c>
      <c r="B6035" s="1" t="n">
        <v>45915.47401620371</v>
      </c>
      <c r="C6035" s="1" t="n">
        <v>46011</v>
      </c>
      <c r="D6035" t="inlineStr">
        <is>
          <t>VÄSTRA GÖTALANDS LÄN</t>
        </is>
      </c>
      <c r="E6035" t="inlineStr">
        <is>
          <t>TANUM</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16710-2022</t>
        </is>
      </c>
      <c r="B6036" s="1" t="n">
        <v>44673.3947800926</v>
      </c>
      <c r="C6036" s="1" t="n">
        <v>46011</v>
      </c>
      <c r="D6036" t="inlineStr">
        <is>
          <t>VÄSTRA GÖTALANDS LÄN</t>
        </is>
      </c>
      <c r="E6036" t="inlineStr">
        <is>
          <t>MARK</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49200-2023</t>
        </is>
      </c>
      <c r="B6037" s="1" t="n">
        <v>45210.59091435185</v>
      </c>
      <c r="C6037" s="1" t="n">
        <v>46011</v>
      </c>
      <c r="D6037" t="inlineStr">
        <is>
          <t>VÄSTRA GÖTALANDS LÄN</t>
        </is>
      </c>
      <c r="E6037" t="inlineStr">
        <is>
          <t>MARIESTAD</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44404-2025</t>
        </is>
      </c>
      <c r="B6038" s="1" t="n">
        <v>45916.51296296297</v>
      </c>
      <c r="C6038" s="1" t="n">
        <v>46011</v>
      </c>
      <c r="D6038" t="inlineStr">
        <is>
          <t>VÄSTRA GÖTALANDS LÄN</t>
        </is>
      </c>
      <c r="E6038" t="inlineStr">
        <is>
          <t>MARIESTAD</t>
        </is>
      </c>
      <c r="G6038" t="n">
        <v>12.1</v>
      </c>
      <c r="H6038" t="n">
        <v>0</v>
      </c>
      <c r="I6038" t="n">
        <v>0</v>
      </c>
      <c r="J6038" t="n">
        <v>0</v>
      </c>
      <c r="K6038" t="n">
        <v>0</v>
      </c>
      <c r="L6038" t="n">
        <v>0</v>
      </c>
      <c r="M6038" t="n">
        <v>0</v>
      </c>
      <c r="N6038" t="n">
        <v>0</v>
      </c>
      <c r="O6038" t="n">
        <v>0</v>
      </c>
      <c r="P6038" t="n">
        <v>0</v>
      </c>
      <c r="Q6038" t="n">
        <v>0</v>
      </c>
      <c r="R6038" s="2" t="inlineStr"/>
    </row>
    <row r="6039" ht="15" customHeight="1">
      <c r="A6039" t="inlineStr">
        <is>
          <t>A 49256-2023</t>
        </is>
      </c>
      <c r="B6039" s="1" t="n">
        <v>45210.66854166667</v>
      </c>
      <c r="C6039" s="1" t="n">
        <v>46011</v>
      </c>
      <c r="D6039" t="inlineStr">
        <is>
          <t>VÄSTRA GÖTALANDS LÄN</t>
        </is>
      </c>
      <c r="E6039" t="inlineStr">
        <is>
          <t>GÖTENE</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25560-2022</t>
        </is>
      </c>
      <c r="B6040" s="1" t="n">
        <v>44732</v>
      </c>
      <c r="C6040" s="1" t="n">
        <v>46011</v>
      </c>
      <c r="D6040" t="inlineStr">
        <is>
          <t>VÄSTRA GÖTALANDS LÄN</t>
        </is>
      </c>
      <c r="E6040" t="inlineStr">
        <is>
          <t>MARK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43902-2025</t>
        </is>
      </c>
      <c r="B6041" s="1" t="n">
        <v>45913.39210648148</v>
      </c>
      <c r="C6041" s="1" t="n">
        <v>46011</v>
      </c>
      <c r="D6041" t="inlineStr">
        <is>
          <t>VÄSTRA GÖTALANDS LÄN</t>
        </is>
      </c>
      <c r="E6041" t="inlineStr">
        <is>
          <t>ULRICEHAMN</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31770-2025</t>
        </is>
      </c>
      <c r="B6042" s="1" t="n">
        <v>45834.50756944445</v>
      </c>
      <c r="C6042" s="1" t="n">
        <v>46011</v>
      </c>
      <c r="D6042" t="inlineStr">
        <is>
          <t>VÄSTRA GÖTALANDS LÄN</t>
        </is>
      </c>
      <c r="E6042" t="inlineStr">
        <is>
          <t>KARLSBORG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53628-2023</t>
        </is>
      </c>
      <c r="B6043" s="1" t="n">
        <v>45230.58957175926</v>
      </c>
      <c r="C6043" s="1" t="n">
        <v>46011</v>
      </c>
      <c r="D6043" t="inlineStr">
        <is>
          <t>VÄSTRA GÖTALANDS LÄN</t>
        </is>
      </c>
      <c r="E6043" t="inlineStr">
        <is>
          <t>ALINGSÅS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2946-2023</t>
        </is>
      </c>
      <c r="B6044" s="1" t="n">
        <v>44945.61759259259</v>
      </c>
      <c r="C6044" s="1" t="n">
        <v>46011</v>
      </c>
      <c r="D6044" t="inlineStr">
        <is>
          <t>VÄSTRA GÖTALANDS LÄN</t>
        </is>
      </c>
      <c r="E6044" t="inlineStr">
        <is>
          <t>ULRICEHAMN</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43918-2025</t>
        </is>
      </c>
      <c r="B6045" s="1" t="n">
        <v>45914.9084375</v>
      </c>
      <c r="C6045" s="1" t="n">
        <v>46011</v>
      </c>
      <c r="D6045" t="inlineStr">
        <is>
          <t>VÄSTRA GÖTALANDS LÄN</t>
        </is>
      </c>
      <c r="E6045" t="inlineStr">
        <is>
          <t>BENGTSFORS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31804-2025</t>
        </is>
      </c>
      <c r="B6046" s="1" t="n">
        <v>45834.55309027778</v>
      </c>
      <c r="C6046" s="1" t="n">
        <v>46011</v>
      </c>
      <c r="D6046" t="inlineStr">
        <is>
          <t>VÄSTRA GÖTALANDS LÄN</t>
        </is>
      </c>
      <c r="E6046" t="inlineStr">
        <is>
          <t>BOLLEBYGD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23228-2022</t>
        </is>
      </c>
      <c r="B6047" s="1" t="n">
        <v>44719.98341435185</v>
      </c>
      <c r="C6047" s="1" t="n">
        <v>46011</v>
      </c>
      <c r="D6047" t="inlineStr">
        <is>
          <t>VÄSTRA GÖTALANDS LÄN</t>
        </is>
      </c>
      <c r="E6047" t="inlineStr">
        <is>
          <t>TANUM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31254-2025</t>
        </is>
      </c>
      <c r="B6048" s="1" t="n">
        <v>45833.3154050926</v>
      </c>
      <c r="C6048" s="1" t="n">
        <v>46011</v>
      </c>
      <c r="D6048" t="inlineStr">
        <is>
          <t>VÄSTRA GÖTALANDS LÄN</t>
        </is>
      </c>
      <c r="E6048" t="inlineStr">
        <is>
          <t>HERRLJUNGA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31256-2025</t>
        </is>
      </c>
      <c r="B6049" s="1" t="n">
        <v>45833.32037037037</v>
      </c>
      <c r="C6049" s="1" t="n">
        <v>46011</v>
      </c>
      <c r="D6049" t="inlineStr">
        <is>
          <t>VÄSTRA GÖTALANDS LÄN</t>
        </is>
      </c>
      <c r="E6049" t="inlineStr">
        <is>
          <t>HERRLJUNGA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44124-2025</t>
        </is>
      </c>
      <c r="B6050" s="1" t="n">
        <v>45915.58008101852</v>
      </c>
      <c r="C6050" s="1" t="n">
        <v>46011</v>
      </c>
      <c r="D6050" t="inlineStr">
        <is>
          <t>VÄSTRA GÖTALANDS LÄN</t>
        </is>
      </c>
      <c r="E6050" t="inlineStr">
        <is>
          <t>DALS-ED</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44504-2025</t>
        </is>
      </c>
      <c r="B6051" s="1" t="n">
        <v>45916.67870370371</v>
      </c>
      <c r="C6051" s="1" t="n">
        <v>46011</v>
      </c>
      <c r="D6051" t="inlineStr">
        <is>
          <t>VÄSTRA GÖTALANDS LÄN</t>
        </is>
      </c>
      <c r="E6051" t="inlineStr">
        <is>
          <t>BENGTSFORS</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31844-2025</t>
        </is>
      </c>
      <c r="B6052" s="1" t="n">
        <v>45834.60144675926</v>
      </c>
      <c r="C6052" s="1" t="n">
        <v>46011</v>
      </c>
      <c r="D6052" t="inlineStr">
        <is>
          <t>VÄSTRA GÖTALANDS LÄN</t>
        </is>
      </c>
      <c r="E6052" t="inlineStr">
        <is>
          <t>LIDKÖPING</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31856-2025</t>
        </is>
      </c>
      <c r="B6053" s="1" t="n">
        <v>45834.62601851852</v>
      </c>
      <c r="C6053" s="1" t="n">
        <v>46011</v>
      </c>
      <c r="D6053" t="inlineStr">
        <is>
          <t>VÄSTRA GÖTALANDS LÄN</t>
        </is>
      </c>
      <c r="E6053" t="inlineStr">
        <is>
          <t>MARK</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7149-2025</t>
        </is>
      </c>
      <c r="B6054" s="1" t="n">
        <v>45702.37914351852</v>
      </c>
      <c r="C6054" s="1" t="n">
        <v>46011</v>
      </c>
      <c r="D6054" t="inlineStr">
        <is>
          <t>VÄSTRA GÖTALANDS LÄN</t>
        </is>
      </c>
      <c r="E6054" t="inlineStr">
        <is>
          <t>LYSEKIL</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61120-2023</t>
        </is>
      </c>
      <c r="B6055" s="1" t="n">
        <v>45261</v>
      </c>
      <c r="C6055" s="1" t="n">
        <v>46011</v>
      </c>
      <c r="D6055" t="inlineStr">
        <is>
          <t>VÄSTRA GÖTALANDS LÄN</t>
        </is>
      </c>
      <c r="E6055" t="inlineStr">
        <is>
          <t>MARK</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32997-2025</t>
        </is>
      </c>
      <c r="B6056" s="1" t="n">
        <v>45840.33818287037</v>
      </c>
      <c r="C6056" s="1" t="n">
        <v>46011</v>
      </c>
      <c r="D6056" t="inlineStr">
        <is>
          <t>VÄSTRA GÖTALANDS LÄN</t>
        </is>
      </c>
      <c r="E6056" t="inlineStr">
        <is>
          <t>STENUNGSUND</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44125-2025</t>
        </is>
      </c>
      <c r="B6057" s="1" t="n">
        <v>45915.58019675926</v>
      </c>
      <c r="C6057" s="1" t="n">
        <v>46011</v>
      </c>
      <c r="D6057" t="inlineStr">
        <is>
          <t>VÄSTRA GÖTALANDS LÄN</t>
        </is>
      </c>
      <c r="E6057" t="inlineStr">
        <is>
          <t>BORÅS</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44127-2025</t>
        </is>
      </c>
      <c r="B6058" s="1" t="n">
        <v>45915.58274305556</v>
      </c>
      <c r="C6058" s="1" t="n">
        <v>46011</v>
      </c>
      <c r="D6058" t="inlineStr">
        <is>
          <t>VÄSTRA GÖTALANDS LÄN</t>
        </is>
      </c>
      <c r="E6058" t="inlineStr">
        <is>
          <t>FÄRGELANDA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44393-2025</t>
        </is>
      </c>
      <c r="B6059" s="1" t="n">
        <v>45916.49414351852</v>
      </c>
      <c r="C6059" s="1" t="n">
        <v>46011</v>
      </c>
      <c r="D6059" t="inlineStr">
        <is>
          <t>VÄSTRA GÖTALANDS LÄN</t>
        </is>
      </c>
      <c r="E6059" t="inlineStr">
        <is>
          <t>HERRLJUNGA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31825-2025</t>
        </is>
      </c>
      <c r="B6060" s="1" t="n">
        <v>45834.58232638889</v>
      </c>
      <c r="C6060" s="1" t="n">
        <v>46011</v>
      </c>
      <c r="D6060" t="inlineStr">
        <is>
          <t>VÄSTRA GÖTALANDS LÄN</t>
        </is>
      </c>
      <c r="E6060" t="inlineStr">
        <is>
          <t>LIDKÖPING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44366-2025</t>
        </is>
      </c>
      <c r="B6061" s="1" t="n">
        <v>45916.45835648148</v>
      </c>
      <c r="C6061" s="1" t="n">
        <v>46011</v>
      </c>
      <c r="D6061" t="inlineStr">
        <is>
          <t>VÄSTRA GÖTALANDS LÄN</t>
        </is>
      </c>
      <c r="E6061" t="inlineStr">
        <is>
          <t>KARLSBORG</t>
        </is>
      </c>
      <c r="F6061" t="inlineStr">
        <is>
          <t>Kyrkan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44379-2025</t>
        </is>
      </c>
      <c r="B6062" s="1" t="n">
        <v>45916.48246527778</v>
      </c>
      <c r="C6062" s="1" t="n">
        <v>46011</v>
      </c>
      <c r="D6062" t="inlineStr">
        <is>
          <t>VÄSTRA GÖTALANDS LÄN</t>
        </is>
      </c>
      <c r="E6062" t="inlineStr">
        <is>
          <t>HERRLJUNGA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31879-2025</t>
        </is>
      </c>
      <c r="B6063" s="1" t="n">
        <v>45834.65471064814</v>
      </c>
      <c r="C6063" s="1" t="n">
        <v>46011</v>
      </c>
      <c r="D6063" t="inlineStr">
        <is>
          <t>VÄSTRA GÖTALANDS LÄN</t>
        </is>
      </c>
      <c r="E6063" t="inlineStr">
        <is>
          <t>DALS-ED</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31440-2025</t>
        </is>
      </c>
      <c r="B6064" s="1" t="n">
        <v>45833.51048611111</v>
      </c>
      <c r="C6064" s="1" t="n">
        <v>46011</v>
      </c>
      <c r="D6064" t="inlineStr">
        <is>
          <t>VÄSTRA GÖTALANDS LÄN</t>
        </is>
      </c>
      <c r="E6064" t="inlineStr">
        <is>
          <t>KARLSBORG</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31454-2025</t>
        </is>
      </c>
      <c r="B6065" s="1" t="n">
        <v>45833.53537037037</v>
      </c>
      <c r="C6065" s="1" t="n">
        <v>46011</v>
      </c>
      <c r="D6065" t="inlineStr">
        <is>
          <t>VÄSTRA GÖTALANDS LÄN</t>
        </is>
      </c>
      <c r="E6065" t="inlineStr">
        <is>
          <t>MARK</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18037-2025</t>
        </is>
      </c>
      <c r="B6066" s="1" t="n">
        <v>45761.45614583333</v>
      </c>
      <c r="C6066" s="1" t="n">
        <v>46011</v>
      </c>
      <c r="D6066" t="inlineStr">
        <is>
          <t>VÄSTRA GÖTALANDS LÄN</t>
        </is>
      </c>
      <c r="E6066" t="inlineStr">
        <is>
          <t>SVENLJUNGA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27671-2025</t>
        </is>
      </c>
      <c r="B6067" s="1" t="n">
        <v>45813</v>
      </c>
      <c r="C6067" s="1" t="n">
        <v>46011</v>
      </c>
      <c r="D6067" t="inlineStr">
        <is>
          <t>VÄSTRA GÖTALANDS LÄN</t>
        </is>
      </c>
      <c r="E6067" t="inlineStr">
        <is>
          <t>TIBRO</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19127-2025</t>
        </is>
      </c>
      <c r="B6068" s="1" t="n">
        <v>45768.92784722222</v>
      </c>
      <c r="C6068" s="1" t="n">
        <v>46011</v>
      </c>
      <c r="D6068" t="inlineStr">
        <is>
          <t>VÄSTRA GÖTALANDS LÄN</t>
        </is>
      </c>
      <c r="E6068" t="inlineStr">
        <is>
          <t>ÅMÅL</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18616-2025</t>
        </is>
      </c>
      <c r="B6069" s="1" t="n">
        <v>45763.50706018518</v>
      </c>
      <c r="C6069" s="1" t="n">
        <v>46011</v>
      </c>
      <c r="D6069" t="inlineStr">
        <is>
          <t>VÄSTRA GÖTALANDS LÄN</t>
        </is>
      </c>
      <c r="E6069" t="inlineStr">
        <is>
          <t>SKARA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44310-2025</t>
        </is>
      </c>
      <c r="B6070" s="1" t="n">
        <v>45916.38266203704</v>
      </c>
      <c r="C6070" s="1" t="n">
        <v>46011</v>
      </c>
      <c r="D6070" t="inlineStr">
        <is>
          <t>VÄSTRA GÖTALANDS LÄN</t>
        </is>
      </c>
      <c r="E6070" t="inlineStr">
        <is>
          <t>MELLERUD</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20131-2025</t>
        </is>
      </c>
      <c r="B6071" s="1" t="n">
        <v>45772.50918981482</v>
      </c>
      <c r="C6071" s="1" t="n">
        <v>46011</v>
      </c>
      <c r="D6071" t="inlineStr">
        <is>
          <t>VÄSTRA GÖTALANDS LÄN</t>
        </is>
      </c>
      <c r="E6071" t="inlineStr">
        <is>
          <t>ORUST</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44103-2025</t>
        </is>
      </c>
      <c r="B6072" s="1" t="n">
        <v>45915.56835648148</v>
      </c>
      <c r="C6072" s="1" t="n">
        <v>46011</v>
      </c>
      <c r="D6072" t="inlineStr">
        <is>
          <t>VÄSTRA GÖTALANDS LÄN</t>
        </is>
      </c>
      <c r="E6072" t="inlineStr">
        <is>
          <t>ALINGSÅS</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6834-2025</t>
        </is>
      </c>
      <c r="B6073" s="1" t="n">
        <v>45700.77680555556</v>
      </c>
      <c r="C6073" s="1" t="n">
        <v>46011</v>
      </c>
      <c r="D6073" t="inlineStr">
        <is>
          <t>VÄSTRA GÖTALANDS LÄN</t>
        </is>
      </c>
      <c r="E6073" t="inlineStr">
        <is>
          <t>HERRLJUNGA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25908-2025</t>
        </is>
      </c>
      <c r="B6074" s="1" t="n">
        <v>45803</v>
      </c>
      <c r="C6074" s="1" t="n">
        <v>46011</v>
      </c>
      <c r="D6074" t="inlineStr">
        <is>
          <t>VÄSTRA GÖTALANDS LÄN</t>
        </is>
      </c>
      <c r="E6074" t="inlineStr">
        <is>
          <t>TÖREBODA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31621-2025</t>
        </is>
      </c>
      <c r="B6075" s="1" t="n">
        <v>45833.8891087963</v>
      </c>
      <c r="C6075" s="1" t="n">
        <v>46011</v>
      </c>
      <c r="D6075" t="inlineStr">
        <is>
          <t>VÄSTRA GÖTALANDS LÄN</t>
        </is>
      </c>
      <c r="E6075" t="inlineStr">
        <is>
          <t>ULRICEHAMN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28813-2025</t>
        </is>
      </c>
      <c r="B6076" s="1" t="n">
        <v>45820</v>
      </c>
      <c r="C6076" s="1" t="n">
        <v>46011</v>
      </c>
      <c r="D6076" t="inlineStr">
        <is>
          <t>VÄSTRA GÖTALANDS LÄN</t>
        </is>
      </c>
      <c r="E6076" t="inlineStr">
        <is>
          <t>ÅMÅL</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31394-2025</t>
        </is>
      </c>
      <c r="B6077" s="1" t="n">
        <v>45833.46310185185</v>
      </c>
      <c r="C6077" s="1" t="n">
        <v>46011</v>
      </c>
      <c r="D6077" t="inlineStr">
        <is>
          <t>VÄSTRA GÖTALANDS LÄN</t>
        </is>
      </c>
      <c r="E6077" t="inlineStr">
        <is>
          <t>ULRICEHAMN</t>
        </is>
      </c>
      <c r="F6077" t="inlineStr">
        <is>
          <t>Sveaskog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15727-2022</t>
        </is>
      </c>
      <c r="B6078" s="1" t="n">
        <v>44663</v>
      </c>
      <c r="C6078" s="1" t="n">
        <v>46011</v>
      </c>
      <c r="D6078" t="inlineStr">
        <is>
          <t>VÄSTRA GÖTALANDS LÄN</t>
        </is>
      </c>
      <c r="E6078" t="inlineStr">
        <is>
          <t>ULRICEHAMN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30846-2025</t>
        </is>
      </c>
      <c r="B6079" s="1" t="n">
        <v>45831.79909722223</v>
      </c>
      <c r="C6079" s="1" t="n">
        <v>46011</v>
      </c>
      <c r="D6079" t="inlineStr">
        <is>
          <t>VÄSTRA GÖTALANDS LÄN</t>
        </is>
      </c>
      <c r="E6079" t="inlineStr">
        <is>
          <t>ULRICEHAMN</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4360-2022</t>
        </is>
      </c>
      <c r="B6080" s="1" t="n">
        <v>44589</v>
      </c>
      <c r="C6080" s="1" t="n">
        <v>46011</v>
      </c>
      <c r="D6080" t="inlineStr">
        <is>
          <t>VÄSTRA GÖTALANDS LÄN</t>
        </is>
      </c>
      <c r="E6080" t="inlineStr">
        <is>
          <t>MARK</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44020-2025</t>
        </is>
      </c>
      <c r="B6081" s="1" t="n">
        <v>45915.47594907408</v>
      </c>
      <c r="C6081" s="1" t="n">
        <v>46011</v>
      </c>
      <c r="D6081" t="inlineStr">
        <is>
          <t>VÄSTRA GÖTALANDS LÄN</t>
        </is>
      </c>
      <c r="E6081" t="inlineStr">
        <is>
          <t>MELLERUD</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44023-2025</t>
        </is>
      </c>
      <c r="B6082" s="1" t="n">
        <v>45915.47930555556</v>
      </c>
      <c r="C6082" s="1" t="n">
        <v>46011</v>
      </c>
      <c r="D6082" t="inlineStr">
        <is>
          <t>VÄSTRA GÖTALANDS LÄN</t>
        </is>
      </c>
      <c r="E6082" t="inlineStr">
        <is>
          <t>BENGTSFORS</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31258-2025</t>
        </is>
      </c>
      <c r="B6083" s="1" t="n">
        <v>45833.32134259259</v>
      </c>
      <c r="C6083" s="1" t="n">
        <v>46011</v>
      </c>
      <c r="D6083" t="inlineStr">
        <is>
          <t>VÄSTRA GÖTALANDS LÄN</t>
        </is>
      </c>
      <c r="E6083" t="inlineStr">
        <is>
          <t>GÖTENE</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31816-2025</t>
        </is>
      </c>
      <c r="B6084" s="1" t="n">
        <v>45834.57234953704</v>
      </c>
      <c r="C6084" s="1" t="n">
        <v>46011</v>
      </c>
      <c r="D6084" t="inlineStr">
        <is>
          <t>VÄSTRA GÖTALANDS LÄN</t>
        </is>
      </c>
      <c r="E6084" t="inlineStr">
        <is>
          <t>BENGTSFORS</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31871-2025</t>
        </is>
      </c>
      <c r="B6085" s="1" t="n">
        <v>45834.64814814815</v>
      </c>
      <c r="C6085" s="1" t="n">
        <v>46011</v>
      </c>
      <c r="D6085" t="inlineStr">
        <is>
          <t>VÄSTRA GÖTALANDS LÄN</t>
        </is>
      </c>
      <c r="E6085" t="inlineStr">
        <is>
          <t>DALS-ED</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22607-2023</t>
        </is>
      </c>
      <c r="B6086" s="1" t="n">
        <v>45071.53923611111</v>
      </c>
      <c r="C6086" s="1" t="n">
        <v>46011</v>
      </c>
      <c r="D6086" t="inlineStr">
        <is>
          <t>VÄSTRA GÖTALANDS LÄN</t>
        </is>
      </c>
      <c r="E6086" t="inlineStr">
        <is>
          <t>BENGTSFORS</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15206-2025</t>
        </is>
      </c>
      <c r="B6087" s="1" t="n">
        <v>45744.57194444445</v>
      </c>
      <c r="C6087" s="1" t="n">
        <v>46011</v>
      </c>
      <c r="D6087" t="inlineStr">
        <is>
          <t>VÄSTRA GÖTALANDS LÄN</t>
        </is>
      </c>
      <c r="E6087" t="inlineStr">
        <is>
          <t>MARIESTAD</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43908-2025</t>
        </is>
      </c>
      <c r="B6088" s="1" t="n">
        <v>45913.84703703703</v>
      </c>
      <c r="C6088" s="1" t="n">
        <v>46011</v>
      </c>
      <c r="D6088" t="inlineStr">
        <is>
          <t>VÄSTRA GÖTALANDS LÄN</t>
        </is>
      </c>
      <c r="E6088" t="inlineStr">
        <is>
          <t>SVENLJUNGA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44022-2025</t>
        </is>
      </c>
      <c r="B6089" s="1" t="n">
        <v>45915.47851851852</v>
      </c>
      <c r="C6089" s="1" t="n">
        <v>46011</v>
      </c>
      <c r="D6089" t="inlineStr">
        <is>
          <t>VÄSTRA GÖTALANDS LÄN</t>
        </is>
      </c>
      <c r="E6089" t="inlineStr">
        <is>
          <t>LYSEKIL</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31391-2025</t>
        </is>
      </c>
      <c r="B6090" s="1" t="n">
        <v>45833.46016203704</v>
      </c>
      <c r="C6090" s="1" t="n">
        <v>46011</v>
      </c>
      <c r="D6090" t="inlineStr">
        <is>
          <t>VÄSTRA GÖTALANDS LÄN</t>
        </is>
      </c>
      <c r="E6090" t="inlineStr">
        <is>
          <t>ULRICEHAMN</t>
        </is>
      </c>
      <c r="F6090" t="inlineStr">
        <is>
          <t>Sveaskog</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15695-2025</t>
        </is>
      </c>
      <c r="B6091" s="1" t="n">
        <v>45748.46914351852</v>
      </c>
      <c r="C6091" s="1" t="n">
        <v>46011</v>
      </c>
      <c r="D6091" t="inlineStr">
        <is>
          <t>VÄSTRA GÖTALANDS LÄN</t>
        </is>
      </c>
      <c r="E6091" t="inlineStr">
        <is>
          <t>STRÖMSTAD</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24041-2022</t>
        </is>
      </c>
      <c r="B6092" s="1" t="n">
        <v>44724.59394675926</v>
      </c>
      <c r="C6092" s="1" t="n">
        <v>46011</v>
      </c>
      <c r="D6092" t="inlineStr">
        <is>
          <t>VÄSTRA GÖTALANDS LÄN</t>
        </is>
      </c>
      <c r="E6092" t="inlineStr">
        <is>
          <t>ULRICEHAMN</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43920-2025</t>
        </is>
      </c>
      <c r="B6093" s="1" t="n">
        <v>45914.9278587963</v>
      </c>
      <c r="C6093" s="1" t="n">
        <v>46011</v>
      </c>
      <c r="D6093" t="inlineStr">
        <is>
          <t>VÄSTRA GÖTALANDS LÄN</t>
        </is>
      </c>
      <c r="E6093" t="inlineStr">
        <is>
          <t>BENGTSFORS</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43921-2025</t>
        </is>
      </c>
      <c r="B6094" s="1" t="n">
        <v>45914.94375</v>
      </c>
      <c r="C6094" s="1" t="n">
        <v>46011</v>
      </c>
      <c r="D6094" t="inlineStr">
        <is>
          <t>VÄSTRA GÖTALANDS LÄN</t>
        </is>
      </c>
      <c r="E6094" t="inlineStr">
        <is>
          <t>BENGTSFORS</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39015-2024</t>
        </is>
      </c>
      <c r="B6095" s="1" t="n">
        <v>45548.44391203704</v>
      </c>
      <c r="C6095" s="1" t="n">
        <v>46011</v>
      </c>
      <c r="D6095" t="inlineStr">
        <is>
          <t>VÄSTRA GÖTALANDS LÄN</t>
        </is>
      </c>
      <c r="E6095" t="inlineStr">
        <is>
          <t>TIDAHOLM</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39046-2024</t>
        </is>
      </c>
      <c r="B6096" s="1" t="n">
        <v>45548.48182870371</v>
      </c>
      <c r="C6096" s="1" t="n">
        <v>46011</v>
      </c>
      <c r="D6096" t="inlineStr">
        <is>
          <t>VÄSTRA GÖTALANDS LÄN</t>
        </is>
      </c>
      <c r="E6096" t="inlineStr">
        <is>
          <t>MARIESTAD</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54877-2023</t>
        </is>
      </c>
      <c r="B6097" s="1" t="n">
        <v>45229</v>
      </c>
      <c r="C6097" s="1" t="n">
        <v>46011</v>
      </c>
      <c r="D6097" t="inlineStr">
        <is>
          <t>VÄSTRA GÖTALANDS LÄN</t>
        </is>
      </c>
      <c r="E6097" t="inlineStr">
        <is>
          <t>ÅMÅL</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30844-2025</t>
        </is>
      </c>
      <c r="B6098" s="1" t="n">
        <v>45831.78528935185</v>
      </c>
      <c r="C6098" s="1" t="n">
        <v>46011</v>
      </c>
      <c r="D6098" t="inlineStr">
        <is>
          <t>VÄSTRA GÖTALANDS LÄN</t>
        </is>
      </c>
      <c r="E6098" t="inlineStr">
        <is>
          <t>ULRICEHAMN</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40931-2024</t>
        </is>
      </c>
      <c r="B6099" s="1" t="n">
        <v>45558.64050925926</v>
      </c>
      <c r="C6099" s="1" t="n">
        <v>46011</v>
      </c>
      <c r="D6099" t="inlineStr">
        <is>
          <t>VÄSTRA GÖTALANDS LÄN</t>
        </is>
      </c>
      <c r="E6099" t="inlineStr">
        <is>
          <t>TRANEMO</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6380-2021</t>
        </is>
      </c>
      <c r="B6100" s="1" t="n">
        <v>44235</v>
      </c>
      <c r="C6100" s="1" t="n">
        <v>46011</v>
      </c>
      <c r="D6100" t="inlineStr">
        <is>
          <t>VÄSTRA GÖTALANDS LÄN</t>
        </is>
      </c>
      <c r="E6100" t="inlineStr">
        <is>
          <t>VARA</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8117-2023</t>
        </is>
      </c>
      <c r="B6101" s="1" t="n">
        <v>44974</v>
      </c>
      <c r="C6101" s="1" t="n">
        <v>46011</v>
      </c>
      <c r="D6101" t="inlineStr">
        <is>
          <t>VÄSTRA GÖTALANDS LÄN</t>
        </is>
      </c>
      <c r="E6101" t="inlineStr">
        <is>
          <t>LILLA EDET</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15697-2023</t>
        </is>
      </c>
      <c r="B6102" s="1" t="n">
        <v>45021.49577546296</v>
      </c>
      <c r="C6102" s="1" t="n">
        <v>46011</v>
      </c>
      <c r="D6102" t="inlineStr">
        <is>
          <t>VÄSTRA GÖTALANDS LÄN</t>
        </is>
      </c>
      <c r="E6102" t="inlineStr">
        <is>
          <t>SVENLJUNGA</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8169-2023</t>
        </is>
      </c>
      <c r="B6103" s="1" t="n">
        <v>44974</v>
      </c>
      <c r="C6103" s="1" t="n">
        <v>46011</v>
      </c>
      <c r="D6103" t="inlineStr">
        <is>
          <t>VÄSTRA GÖTALANDS LÄN</t>
        </is>
      </c>
      <c r="E6103" t="inlineStr">
        <is>
          <t>MELLERUD</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31558-2025</t>
        </is>
      </c>
      <c r="B6104" s="1" t="n">
        <v>45833.65283564815</v>
      </c>
      <c r="C6104" s="1" t="n">
        <v>46011</v>
      </c>
      <c r="D6104" t="inlineStr">
        <is>
          <t>VÄSTRA GÖTALANDS LÄN</t>
        </is>
      </c>
      <c r="E6104" t="inlineStr">
        <is>
          <t>MUNKEDAL</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44363-2025</t>
        </is>
      </c>
      <c r="B6105" s="1" t="n">
        <v>45915</v>
      </c>
      <c r="C6105" s="1" t="n">
        <v>46011</v>
      </c>
      <c r="D6105" t="inlineStr">
        <is>
          <t>VÄSTRA GÖTALANDS LÄN</t>
        </is>
      </c>
      <c r="E6105" t="inlineStr">
        <is>
          <t>GULLSPÅNG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31917-2025</t>
        </is>
      </c>
      <c r="B6106" s="1" t="n">
        <v>45834</v>
      </c>
      <c r="C6106" s="1" t="n">
        <v>46011</v>
      </c>
      <c r="D6106" t="inlineStr">
        <is>
          <t>VÄSTRA GÖTALANDS LÄN</t>
        </is>
      </c>
      <c r="E6106" t="inlineStr">
        <is>
          <t>STRÖMSTAD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43986-2025</t>
        </is>
      </c>
      <c r="B6107" s="1" t="n">
        <v>45915.4346875</v>
      </c>
      <c r="C6107" s="1" t="n">
        <v>46011</v>
      </c>
      <c r="D6107" t="inlineStr">
        <is>
          <t>VÄSTRA GÖTALANDS LÄN</t>
        </is>
      </c>
      <c r="E6107" t="inlineStr">
        <is>
          <t>GÖTENE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44240-2025</t>
        </is>
      </c>
      <c r="B6108" s="1" t="n">
        <v>45915.67596064815</v>
      </c>
      <c r="C6108" s="1" t="n">
        <v>46011</v>
      </c>
      <c r="D6108" t="inlineStr">
        <is>
          <t>VÄSTRA GÖTALANDS LÄN</t>
        </is>
      </c>
      <c r="E6108" t="inlineStr">
        <is>
          <t>VARA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31594-2025</t>
        </is>
      </c>
      <c r="B6109" s="1" t="n">
        <v>45833.70512731482</v>
      </c>
      <c r="C6109" s="1" t="n">
        <v>46011</v>
      </c>
      <c r="D6109" t="inlineStr">
        <is>
          <t>VÄSTRA GÖTALANDS LÄN</t>
        </is>
      </c>
      <c r="E6109" t="inlineStr">
        <is>
          <t>BOLLEBYGD</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3134-2025</t>
        </is>
      </c>
      <c r="B6110" s="1" t="n">
        <v>45678</v>
      </c>
      <c r="C6110" s="1" t="n">
        <v>46011</v>
      </c>
      <c r="D6110" t="inlineStr">
        <is>
          <t>VÄSTRA GÖTALANDS LÄN</t>
        </is>
      </c>
      <c r="E6110" t="inlineStr">
        <is>
          <t>MUNKEDAL</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44425-2025</t>
        </is>
      </c>
      <c r="B6111" s="1" t="n">
        <v>45916.55859953703</v>
      </c>
      <c r="C6111" s="1" t="n">
        <v>46011</v>
      </c>
      <c r="D6111" t="inlineStr">
        <is>
          <t>VÄSTRA GÖTALANDS LÄN</t>
        </is>
      </c>
      <c r="E6111" t="inlineStr">
        <is>
          <t>MARK</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9530-2023</t>
        </is>
      </c>
      <c r="B6112" s="1" t="n">
        <v>44981</v>
      </c>
      <c r="C6112" s="1" t="n">
        <v>46011</v>
      </c>
      <c r="D6112" t="inlineStr">
        <is>
          <t>VÄSTRA GÖTALANDS LÄN</t>
        </is>
      </c>
      <c r="E6112" t="inlineStr">
        <is>
          <t>BOLLEBYGD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9557-2023</t>
        </is>
      </c>
      <c r="B6113" s="1" t="n">
        <v>44982.32392361111</v>
      </c>
      <c r="C6113" s="1" t="n">
        <v>46011</v>
      </c>
      <c r="D6113" t="inlineStr">
        <is>
          <t>VÄSTRA GÖTALANDS LÄN</t>
        </is>
      </c>
      <c r="E6113" t="inlineStr">
        <is>
          <t>MARK</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44104-2025</t>
        </is>
      </c>
      <c r="B6114" s="1" t="n">
        <v>45915.56895833334</v>
      </c>
      <c r="C6114" s="1" t="n">
        <v>46011</v>
      </c>
      <c r="D6114" t="inlineStr">
        <is>
          <t>VÄSTRA GÖTALANDS LÄN</t>
        </is>
      </c>
      <c r="E6114" t="inlineStr">
        <is>
          <t>LILLA EDET</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31737-2025</t>
        </is>
      </c>
      <c r="B6115" s="1" t="n">
        <v>45834.47158564815</v>
      </c>
      <c r="C6115" s="1" t="n">
        <v>46011</v>
      </c>
      <c r="D6115" t="inlineStr">
        <is>
          <t>VÄSTRA GÖTALANDS LÄN</t>
        </is>
      </c>
      <c r="E6115" t="inlineStr">
        <is>
          <t>SVENLJUNGA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31741-2025</t>
        </is>
      </c>
      <c r="B6116" s="1" t="n">
        <v>45834.47517361111</v>
      </c>
      <c r="C6116" s="1" t="n">
        <v>46011</v>
      </c>
      <c r="D6116" t="inlineStr">
        <is>
          <t>VÄSTRA GÖTALANDS LÄN</t>
        </is>
      </c>
      <c r="E6116" t="inlineStr">
        <is>
          <t>SVENLJUNGA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3211-2025</t>
        </is>
      </c>
      <c r="B6117" s="1" t="n">
        <v>45679.4559375</v>
      </c>
      <c r="C6117" s="1" t="n">
        <v>46011</v>
      </c>
      <c r="D6117" t="inlineStr">
        <is>
          <t>VÄSTRA GÖTALANDS LÄN</t>
        </is>
      </c>
      <c r="E6117" t="inlineStr">
        <is>
          <t>TRANEMO</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3212-2025</t>
        </is>
      </c>
      <c r="B6118" s="1" t="n">
        <v>45679.45844907407</v>
      </c>
      <c r="C6118" s="1" t="n">
        <v>46011</v>
      </c>
      <c r="D6118" t="inlineStr">
        <is>
          <t>VÄSTRA GÖTALANDS LÄN</t>
        </is>
      </c>
      <c r="E6118" t="inlineStr">
        <is>
          <t>TRANEMO</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5515-2025</t>
        </is>
      </c>
      <c r="B6119" s="1" t="n">
        <v>45693.40458333334</v>
      </c>
      <c r="C6119" s="1" t="n">
        <v>46011</v>
      </c>
      <c r="D6119" t="inlineStr">
        <is>
          <t>VÄSTRA GÖTALANDS LÄN</t>
        </is>
      </c>
      <c r="E6119" t="inlineStr">
        <is>
          <t>FÄRGELANDA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43901-2025</t>
        </is>
      </c>
      <c r="B6120" s="1" t="n">
        <v>45913.36832175926</v>
      </c>
      <c r="C6120" s="1" t="n">
        <v>46011</v>
      </c>
      <c r="D6120" t="inlineStr">
        <is>
          <t>VÄSTRA GÖTALANDS LÄN</t>
        </is>
      </c>
      <c r="E6120" t="inlineStr">
        <is>
          <t>ULRICEHAMN</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47697-2024</t>
        </is>
      </c>
      <c r="B6121" s="1" t="n">
        <v>45588.45899305555</v>
      </c>
      <c r="C6121" s="1" t="n">
        <v>46011</v>
      </c>
      <c r="D6121" t="inlineStr">
        <is>
          <t>VÄSTRA GÖTALANDS LÄN</t>
        </is>
      </c>
      <c r="E6121" t="inlineStr">
        <is>
          <t>ÅMÅL</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59381-2022</t>
        </is>
      </c>
      <c r="B6122" s="1" t="n">
        <v>44905.46840277778</v>
      </c>
      <c r="C6122" s="1" t="n">
        <v>46011</v>
      </c>
      <c r="D6122" t="inlineStr">
        <is>
          <t>VÄSTRA GÖTALANDS LÄN</t>
        </is>
      </c>
      <c r="E6122" t="inlineStr">
        <is>
          <t>VÅRGÅRDA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59401-2022</t>
        </is>
      </c>
      <c r="B6123" s="1" t="n">
        <v>44906.90962962963</v>
      </c>
      <c r="C6123" s="1" t="n">
        <v>46011</v>
      </c>
      <c r="D6123" t="inlineStr">
        <is>
          <t>VÄSTRA GÖTALANDS LÄN</t>
        </is>
      </c>
      <c r="E6123" t="inlineStr">
        <is>
          <t>KARLSBORG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31660-2025</t>
        </is>
      </c>
      <c r="B6124" s="1" t="n">
        <v>45834.35425925926</v>
      </c>
      <c r="C6124" s="1" t="n">
        <v>46011</v>
      </c>
      <c r="D6124" t="inlineStr">
        <is>
          <t>VÄSTRA GÖTALANDS LÄN</t>
        </is>
      </c>
      <c r="E6124" t="inlineStr">
        <is>
          <t>TÖREBODA</t>
        </is>
      </c>
      <c r="F6124" t="inlineStr">
        <is>
          <t>Sveaskog</t>
        </is>
      </c>
      <c r="G6124" t="n">
        <v>11.5</v>
      </c>
      <c r="H6124" t="n">
        <v>0</v>
      </c>
      <c r="I6124" t="n">
        <v>0</v>
      </c>
      <c r="J6124" t="n">
        <v>0</v>
      </c>
      <c r="K6124" t="n">
        <v>0</v>
      </c>
      <c r="L6124" t="n">
        <v>0</v>
      </c>
      <c r="M6124" t="n">
        <v>0</v>
      </c>
      <c r="N6124" t="n">
        <v>0</v>
      </c>
      <c r="O6124" t="n">
        <v>0</v>
      </c>
      <c r="P6124" t="n">
        <v>0</v>
      </c>
      <c r="Q6124" t="n">
        <v>0</v>
      </c>
      <c r="R6124" s="2" t="inlineStr"/>
    </row>
    <row r="6125" ht="15" customHeight="1">
      <c r="A6125" t="inlineStr">
        <is>
          <t>A 31677-2025</t>
        </is>
      </c>
      <c r="B6125" s="1" t="n">
        <v>45834.37809027778</v>
      </c>
      <c r="C6125" s="1" t="n">
        <v>46011</v>
      </c>
      <c r="D6125" t="inlineStr">
        <is>
          <t>VÄSTRA GÖTALANDS LÄN</t>
        </is>
      </c>
      <c r="E6125" t="inlineStr">
        <is>
          <t>TIBRO</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44367-2025</t>
        </is>
      </c>
      <c r="B6126" s="1" t="n">
        <v>45916.45898148148</v>
      </c>
      <c r="C6126" s="1" t="n">
        <v>46011</v>
      </c>
      <c r="D6126" t="inlineStr">
        <is>
          <t>VÄSTRA GÖTALANDS LÄN</t>
        </is>
      </c>
      <c r="E6126" t="inlineStr">
        <is>
          <t>LIDKÖPING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22719-2023</t>
        </is>
      </c>
      <c r="B6127" s="1" t="n">
        <v>45071</v>
      </c>
      <c r="C6127" s="1" t="n">
        <v>46011</v>
      </c>
      <c r="D6127" t="inlineStr">
        <is>
          <t>VÄSTRA GÖTALANDS LÄN</t>
        </is>
      </c>
      <c r="E6127" t="inlineStr">
        <is>
          <t>FÄRGELANDA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30847-2025</t>
        </is>
      </c>
      <c r="B6128" s="1" t="n">
        <v>45831.8115625</v>
      </c>
      <c r="C6128" s="1" t="n">
        <v>46011</v>
      </c>
      <c r="D6128" t="inlineStr">
        <is>
          <t>VÄSTRA GÖTALANDS LÄN</t>
        </is>
      </c>
      <c r="E6128" t="inlineStr">
        <is>
          <t>ULRICEHAMN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43959-2025</t>
        </is>
      </c>
      <c r="B6129" s="1" t="n">
        <v>45915.38841435185</v>
      </c>
      <c r="C6129" s="1" t="n">
        <v>46011</v>
      </c>
      <c r="D6129" t="inlineStr">
        <is>
          <t>VÄSTRA GÖTALANDS LÄN</t>
        </is>
      </c>
      <c r="E6129" t="inlineStr">
        <is>
          <t>MARK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25135-2025</t>
        </is>
      </c>
      <c r="B6130" s="1" t="n">
        <v>45798</v>
      </c>
      <c r="C6130" s="1" t="n">
        <v>46011</v>
      </c>
      <c r="D6130" t="inlineStr">
        <is>
          <t>VÄSTRA GÖTALANDS LÄN</t>
        </is>
      </c>
      <c r="E6130" t="inlineStr">
        <is>
          <t>KUNGÄLV</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48508-2024</t>
        </is>
      </c>
      <c r="B6131" s="1" t="n">
        <v>45593.24738425926</v>
      </c>
      <c r="C6131" s="1" t="n">
        <v>46011</v>
      </c>
      <c r="D6131" t="inlineStr">
        <is>
          <t>VÄSTRA GÖTALANDS LÄN</t>
        </is>
      </c>
      <c r="E6131" t="inlineStr">
        <is>
          <t>BORÅS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31403-2025</t>
        </is>
      </c>
      <c r="B6132" s="1" t="n">
        <v>45833</v>
      </c>
      <c r="C6132" s="1" t="n">
        <v>46011</v>
      </c>
      <c r="D6132" t="inlineStr">
        <is>
          <t>VÄSTRA GÖTALANDS LÄN</t>
        </is>
      </c>
      <c r="E6132" t="inlineStr">
        <is>
          <t>MARK</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56775-2023</t>
        </is>
      </c>
      <c r="B6133" s="1" t="n">
        <v>45244.41496527778</v>
      </c>
      <c r="C6133" s="1" t="n">
        <v>46011</v>
      </c>
      <c r="D6133" t="inlineStr">
        <is>
          <t>VÄSTRA GÖTALANDS LÄN</t>
        </is>
      </c>
      <c r="E6133" t="inlineStr">
        <is>
          <t>ULRICEHAMN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31444-2025</t>
        </is>
      </c>
      <c r="B6134" s="1" t="n">
        <v>45833.51385416667</v>
      </c>
      <c r="C6134" s="1" t="n">
        <v>46011</v>
      </c>
      <c r="D6134" t="inlineStr">
        <is>
          <t>VÄSTRA GÖTALANDS LÄN</t>
        </is>
      </c>
      <c r="E6134" t="inlineStr">
        <is>
          <t>KARLSBORG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44026-2025</t>
        </is>
      </c>
      <c r="B6135" s="1" t="n">
        <v>45915.48523148148</v>
      </c>
      <c r="C6135" s="1" t="n">
        <v>46011</v>
      </c>
      <c r="D6135" t="inlineStr">
        <is>
          <t>VÄSTRA GÖTALANDS LÄN</t>
        </is>
      </c>
      <c r="E6135" t="inlineStr">
        <is>
          <t>MUNKEDAL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44042-2025</t>
        </is>
      </c>
      <c r="B6136" s="1" t="n">
        <v>45915.49236111111</v>
      </c>
      <c r="C6136" s="1" t="n">
        <v>46011</v>
      </c>
      <c r="D6136" t="inlineStr">
        <is>
          <t>VÄSTRA GÖTALANDS LÄN</t>
        </is>
      </c>
      <c r="E6136" t="inlineStr">
        <is>
          <t>MELLERUD</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31865-2025</t>
        </is>
      </c>
      <c r="B6137" s="1" t="n">
        <v>45834.64103009259</v>
      </c>
      <c r="C6137" s="1" t="n">
        <v>46011</v>
      </c>
      <c r="D6137" t="inlineStr">
        <is>
          <t>VÄSTRA GÖTALANDS LÄN</t>
        </is>
      </c>
      <c r="E6137" t="inlineStr">
        <is>
          <t>HERRLJUNGA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49920-2024</t>
        </is>
      </c>
      <c r="B6138" s="1" t="n">
        <v>45597.57233796296</v>
      </c>
      <c r="C6138" s="1" t="n">
        <v>46011</v>
      </c>
      <c r="D6138" t="inlineStr">
        <is>
          <t>VÄSTRA GÖTALANDS LÄN</t>
        </is>
      </c>
      <c r="E6138" t="inlineStr">
        <is>
          <t>GULLSPÅNG</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49933-2024</t>
        </is>
      </c>
      <c r="B6139" s="1" t="n">
        <v>45597.58248842593</v>
      </c>
      <c r="C6139" s="1" t="n">
        <v>46011</v>
      </c>
      <c r="D6139" t="inlineStr">
        <is>
          <t>VÄSTRA GÖTALANDS LÄN</t>
        </is>
      </c>
      <c r="E6139" t="inlineStr">
        <is>
          <t>MARIESTAD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44062-2025</t>
        </is>
      </c>
      <c r="B6140" s="1" t="n">
        <v>45915.53877314815</v>
      </c>
      <c r="C6140" s="1" t="n">
        <v>46011</v>
      </c>
      <c r="D6140" t="inlineStr">
        <is>
          <t>VÄSTRA GÖTALANDS LÄN</t>
        </is>
      </c>
      <c r="E6140" t="inlineStr">
        <is>
          <t>UDDEVALLA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44086-2025</t>
        </is>
      </c>
      <c r="B6141" s="1" t="n">
        <v>45914</v>
      </c>
      <c r="C6141" s="1" t="n">
        <v>46011</v>
      </c>
      <c r="D6141" t="inlineStr">
        <is>
          <t>VÄSTRA GÖTALANDS LÄN</t>
        </is>
      </c>
      <c r="E6141" t="inlineStr">
        <is>
          <t>UDDEVALLA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31701-2025</t>
        </is>
      </c>
      <c r="B6142" s="1" t="n">
        <v>45834</v>
      </c>
      <c r="C6142" s="1" t="n">
        <v>46011</v>
      </c>
      <c r="D6142" t="inlineStr">
        <is>
          <t>VÄSTRA GÖTALANDS LÄN</t>
        </is>
      </c>
      <c r="E6142" t="inlineStr">
        <is>
          <t>KARLSBORG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5539-2025</t>
        </is>
      </c>
      <c r="B6143" s="1" t="n">
        <v>45693.45027777777</v>
      </c>
      <c r="C6143" s="1" t="n">
        <v>46011</v>
      </c>
      <c r="D6143" t="inlineStr">
        <is>
          <t>VÄSTRA GÖTALANDS LÄN</t>
        </is>
      </c>
      <c r="E6143" t="inlineStr">
        <is>
          <t>SVENLJUNGA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31538-2025</t>
        </is>
      </c>
      <c r="B6144" s="1" t="n">
        <v>45833.6284375</v>
      </c>
      <c r="C6144" s="1" t="n">
        <v>46011</v>
      </c>
      <c r="D6144" t="inlineStr">
        <is>
          <t>VÄSTRA GÖTALANDS LÄN</t>
        </is>
      </c>
      <c r="E6144" t="inlineStr">
        <is>
          <t>KARLSBORG</t>
        </is>
      </c>
      <c r="F6144" t="inlineStr">
        <is>
          <t>Sveaskog</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31615-2025</t>
        </is>
      </c>
      <c r="B6145" s="1" t="n">
        <v>45833.8168287037</v>
      </c>
      <c r="C6145" s="1" t="n">
        <v>46011</v>
      </c>
      <c r="D6145" t="inlineStr">
        <is>
          <t>VÄSTRA GÖTALANDS LÄN</t>
        </is>
      </c>
      <c r="E6145" t="inlineStr">
        <is>
          <t>ULRICEHAMN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31698-2025</t>
        </is>
      </c>
      <c r="B6146" s="1" t="n">
        <v>45834.40880787037</v>
      </c>
      <c r="C6146" s="1" t="n">
        <v>46011</v>
      </c>
      <c r="D6146" t="inlineStr">
        <is>
          <t>VÄSTRA GÖTALANDS LÄN</t>
        </is>
      </c>
      <c r="E6146" t="inlineStr">
        <is>
          <t>TROLLHÄTTAN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31703-2025</t>
        </is>
      </c>
      <c r="B6147" s="1" t="n">
        <v>45834.41769675926</v>
      </c>
      <c r="C6147" s="1" t="n">
        <v>46011</v>
      </c>
      <c r="D6147" t="inlineStr">
        <is>
          <t>VÄSTRA GÖTALANDS LÄN</t>
        </is>
      </c>
      <c r="E6147" t="inlineStr">
        <is>
          <t>HERRLJUNGA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5472-2025</t>
        </is>
      </c>
      <c r="B6148" s="1" t="n">
        <v>45693.32910879629</v>
      </c>
      <c r="C6148" s="1" t="n">
        <v>46011</v>
      </c>
      <c r="D6148" t="inlineStr">
        <is>
          <t>VÄSTRA GÖTALANDS LÄN</t>
        </is>
      </c>
      <c r="E6148" t="inlineStr">
        <is>
          <t>SKÖVDE</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5476-2025</t>
        </is>
      </c>
      <c r="B6149" s="1" t="n">
        <v>45693.33128472222</v>
      </c>
      <c r="C6149" s="1" t="n">
        <v>46011</v>
      </c>
      <c r="D6149" t="inlineStr">
        <is>
          <t>VÄSTRA GÖTALANDS LÄN</t>
        </is>
      </c>
      <c r="E6149" t="inlineStr">
        <is>
          <t>SKÖVDE</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31809-2025</t>
        </is>
      </c>
      <c r="B6150" s="1" t="n">
        <v>45834.55905092593</v>
      </c>
      <c r="C6150" s="1" t="n">
        <v>46011</v>
      </c>
      <c r="D6150" t="inlineStr">
        <is>
          <t>VÄSTRA GÖTALANDS LÄN</t>
        </is>
      </c>
      <c r="E6150" t="inlineStr">
        <is>
          <t>SVENLJUNGA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7578-2025</t>
        </is>
      </c>
      <c r="B6151" s="1" t="n">
        <v>45705</v>
      </c>
      <c r="C6151" s="1" t="n">
        <v>46011</v>
      </c>
      <c r="D6151" t="inlineStr">
        <is>
          <t>VÄSTRA GÖTALANDS LÄN</t>
        </is>
      </c>
      <c r="E6151" t="inlineStr">
        <is>
          <t>MARIESTAD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22887-2025</t>
        </is>
      </c>
      <c r="B6152" s="1" t="n">
        <v>45790.38826388889</v>
      </c>
      <c r="C6152" s="1" t="n">
        <v>46011</v>
      </c>
      <c r="D6152" t="inlineStr">
        <is>
          <t>VÄSTRA GÖTALANDS LÄN</t>
        </is>
      </c>
      <c r="E6152" t="inlineStr">
        <is>
          <t>MELLERUD</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44074-2025</t>
        </is>
      </c>
      <c r="B6153" s="1" t="n">
        <v>45915.54888888889</v>
      </c>
      <c r="C6153" s="1" t="n">
        <v>46011</v>
      </c>
      <c r="D6153" t="inlineStr">
        <is>
          <t>VÄSTRA GÖTALANDS LÄN</t>
        </is>
      </c>
      <c r="E6153" t="inlineStr">
        <is>
          <t>TÖREBODA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31611-2025</t>
        </is>
      </c>
      <c r="B6154" s="1" t="n">
        <v>45833</v>
      </c>
      <c r="C6154" s="1" t="n">
        <v>46011</v>
      </c>
      <c r="D6154" t="inlineStr">
        <is>
          <t>VÄSTRA GÖTALANDS LÄN</t>
        </is>
      </c>
      <c r="E6154" t="inlineStr">
        <is>
          <t>FALKÖPING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32665-2025</t>
        </is>
      </c>
      <c r="B6155" s="1" t="n">
        <v>45838</v>
      </c>
      <c r="C6155" s="1" t="n">
        <v>46011</v>
      </c>
      <c r="D6155" t="inlineStr">
        <is>
          <t>VÄSTRA GÖTALANDS LÄN</t>
        </is>
      </c>
      <c r="E6155" t="inlineStr">
        <is>
          <t>GRÄSTORP</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54533-2024</t>
        </is>
      </c>
      <c r="B6156" s="1" t="n">
        <v>45617.6054050926</v>
      </c>
      <c r="C6156" s="1" t="n">
        <v>46011</v>
      </c>
      <c r="D6156" t="inlineStr">
        <is>
          <t>VÄSTRA GÖTALANDS LÄN</t>
        </is>
      </c>
      <c r="E6156" t="inlineStr">
        <is>
          <t>SVENLJUNGA</t>
        </is>
      </c>
      <c r="F6156" t="inlineStr">
        <is>
          <t>Kyrkan</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57786-2022</t>
        </is>
      </c>
      <c r="B6157" s="1" t="n">
        <v>44897</v>
      </c>
      <c r="C6157" s="1" t="n">
        <v>46011</v>
      </c>
      <c r="D6157" t="inlineStr">
        <is>
          <t>VÄSTRA GÖTALANDS LÄN</t>
        </is>
      </c>
      <c r="E6157" t="inlineStr">
        <is>
          <t>BORÅS</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44153-2025</t>
        </is>
      </c>
      <c r="B6158" s="1" t="n">
        <v>45915.59482638889</v>
      </c>
      <c r="C6158" s="1" t="n">
        <v>46011</v>
      </c>
      <c r="D6158" t="inlineStr">
        <is>
          <t>VÄSTRA GÖTALANDS LÄN</t>
        </is>
      </c>
      <c r="E6158" t="inlineStr">
        <is>
          <t>MUNKEDAL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62223-2022</t>
        </is>
      </c>
      <c r="B6159" s="1" t="n">
        <v>44922.67252314815</v>
      </c>
      <c r="C6159" s="1" t="n">
        <v>46011</v>
      </c>
      <c r="D6159" t="inlineStr">
        <is>
          <t>VÄSTRA GÖTALANDS LÄN</t>
        </is>
      </c>
      <c r="E6159" t="inlineStr">
        <is>
          <t>TIBRO</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32461-2025</t>
        </is>
      </c>
      <c r="B6160" s="1" t="n">
        <v>45838.41554398148</v>
      </c>
      <c r="C6160" s="1" t="n">
        <v>46011</v>
      </c>
      <c r="D6160" t="inlineStr">
        <is>
          <t>VÄSTRA GÖTALANDS LÄN</t>
        </is>
      </c>
      <c r="E6160" t="inlineStr">
        <is>
          <t>ULRICEHAMN</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62299-2022</t>
        </is>
      </c>
      <c r="B6161" s="1" t="n">
        <v>44923.44671296296</v>
      </c>
      <c r="C6161" s="1" t="n">
        <v>46011</v>
      </c>
      <c r="D6161" t="inlineStr">
        <is>
          <t>VÄSTRA GÖTALANDS LÄN</t>
        </is>
      </c>
      <c r="E6161" t="inlineStr">
        <is>
          <t>TROLLHÄTTAN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62359-2022</t>
        </is>
      </c>
      <c r="B6162" s="1" t="n">
        <v>44923</v>
      </c>
      <c r="C6162" s="1" t="n">
        <v>46011</v>
      </c>
      <c r="D6162" t="inlineStr">
        <is>
          <t>VÄSTRA GÖTALANDS LÄN</t>
        </is>
      </c>
      <c r="E6162" t="inlineStr">
        <is>
          <t>TÖREBODA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62360-2022</t>
        </is>
      </c>
      <c r="B6163" s="1" t="n">
        <v>44923.64385416666</v>
      </c>
      <c r="C6163" s="1" t="n">
        <v>46011</v>
      </c>
      <c r="D6163" t="inlineStr">
        <is>
          <t>VÄSTRA GÖTALANDS LÄN</t>
        </is>
      </c>
      <c r="E6163" t="inlineStr">
        <is>
          <t>TÖREBODA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31940-2025</t>
        </is>
      </c>
      <c r="B6164" s="1" t="n">
        <v>45835.29754629629</v>
      </c>
      <c r="C6164" s="1" t="n">
        <v>46011</v>
      </c>
      <c r="D6164" t="inlineStr">
        <is>
          <t>VÄSTRA GÖTALANDS LÄN</t>
        </is>
      </c>
      <c r="E6164" t="inlineStr">
        <is>
          <t>ULRICEHAMN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1283-2023</t>
        </is>
      </c>
      <c r="B6165" s="1" t="n">
        <v>44936</v>
      </c>
      <c r="C6165" s="1" t="n">
        <v>46011</v>
      </c>
      <c r="D6165" t="inlineStr">
        <is>
          <t>VÄSTRA GÖTALANDS LÄN</t>
        </is>
      </c>
      <c r="E6165" t="inlineStr">
        <is>
          <t>MARIESTAD</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769-2023</t>
        </is>
      </c>
      <c r="B6166" s="1" t="n">
        <v>44931</v>
      </c>
      <c r="C6166" s="1" t="n">
        <v>46011</v>
      </c>
      <c r="D6166" t="inlineStr">
        <is>
          <t>VÄSTRA GÖTALANDS LÄN</t>
        </is>
      </c>
      <c r="E6166" t="inlineStr">
        <is>
          <t>TJÖRN</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12817-2024</t>
        </is>
      </c>
      <c r="B6167" s="1" t="n">
        <v>45384</v>
      </c>
      <c r="C6167" s="1" t="n">
        <v>46011</v>
      </c>
      <c r="D6167" t="inlineStr">
        <is>
          <t>VÄSTRA GÖTALANDS LÄN</t>
        </is>
      </c>
      <c r="E6167" t="inlineStr">
        <is>
          <t>SKÖVDE</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21904-2025</t>
        </is>
      </c>
      <c r="B6168" s="1" t="n">
        <v>45784.46083333333</v>
      </c>
      <c r="C6168" s="1" t="n">
        <v>46011</v>
      </c>
      <c r="D6168" t="inlineStr">
        <is>
          <t>VÄSTRA GÖTALANDS LÄN</t>
        </is>
      </c>
      <c r="E6168" t="inlineStr">
        <is>
          <t>TIDAHOLM</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40264-2024</t>
        </is>
      </c>
      <c r="B6169" s="1" t="n">
        <v>45554.63769675926</v>
      </c>
      <c r="C6169" s="1" t="n">
        <v>46011</v>
      </c>
      <c r="D6169" t="inlineStr">
        <is>
          <t>VÄSTRA GÖTALANDS LÄN</t>
        </is>
      </c>
      <c r="E6169" t="inlineStr">
        <is>
          <t>SKARA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32684-2025</t>
        </is>
      </c>
      <c r="B6170" s="1" t="n">
        <v>45837</v>
      </c>
      <c r="C6170" s="1" t="n">
        <v>46011</v>
      </c>
      <c r="D6170" t="inlineStr">
        <is>
          <t>VÄSTRA GÖTALANDS LÄN</t>
        </is>
      </c>
      <c r="E6170" t="inlineStr">
        <is>
          <t>TANUM</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46453-2024</t>
        </is>
      </c>
      <c r="B6171" s="1" t="n">
        <v>45582.51785879629</v>
      </c>
      <c r="C6171" s="1" t="n">
        <v>46011</v>
      </c>
      <c r="D6171" t="inlineStr">
        <is>
          <t>VÄSTRA GÖTALANDS LÄN</t>
        </is>
      </c>
      <c r="E6171" t="inlineStr">
        <is>
          <t>BORÅS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44499-2025</t>
        </is>
      </c>
      <c r="B6172" s="1" t="n">
        <v>45916.67724537037</v>
      </c>
      <c r="C6172" s="1" t="n">
        <v>46011</v>
      </c>
      <c r="D6172" t="inlineStr">
        <is>
          <t>VÄSTRA GÖTALANDS LÄN</t>
        </is>
      </c>
      <c r="E6172" t="inlineStr">
        <is>
          <t>HERRLJUNGA</t>
        </is>
      </c>
      <c r="F6172" t="inlineStr">
        <is>
          <t>Kyrkan</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32276-2025</t>
        </is>
      </c>
      <c r="B6173" s="1" t="n">
        <v>45835.66128472222</v>
      </c>
      <c r="C6173" s="1" t="n">
        <v>46011</v>
      </c>
      <c r="D6173" t="inlineStr">
        <is>
          <t>VÄSTRA GÖTALANDS LÄN</t>
        </is>
      </c>
      <c r="E6173" t="inlineStr">
        <is>
          <t>FALKÖPING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46520-2024</t>
        </is>
      </c>
      <c r="B6174" s="1" t="n">
        <v>45582</v>
      </c>
      <c r="C6174" s="1" t="n">
        <v>46011</v>
      </c>
      <c r="D6174" t="inlineStr">
        <is>
          <t>VÄSTRA GÖTALANDS LÄN</t>
        </is>
      </c>
      <c r="E6174" t="inlineStr">
        <is>
          <t>VÄNERSBORG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17373-2025</t>
        </is>
      </c>
      <c r="B6175" s="1" t="n">
        <v>45756.86658564815</v>
      </c>
      <c r="C6175" s="1" t="n">
        <v>46011</v>
      </c>
      <c r="D6175" t="inlineStr">
        <is>
          <t>VÄSTRA GÖTALANDS LÄN</t>
        </is>
      </c>
      <c r="E6175" t="inlineStr">
        <is>
          <t>ÅMÅL</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31959-2025</t>
        </is>
      </c>
      <c r="B6176" s="1" t="n">
        <v>45835.34372685185</v>
      </c>
      <c r="C6176" s="1" t="n">
        <v>46011</v>
      </c>
      <c r="D6176" t="inlineStr">
        <is>
          <t>VÄSTRA GÖTALANDS LÄN</t>
        </is>
      </c>
      <c r="E6176" t="inlineStr">
        <is>
          <t>SVENLJUNGA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34501-2023</t>
        </is>
      </c>
      <c r="B6177" s="1" t="n">
        <v>45133</v>
      </c>
      <c r="C6177" s="1" t="n">
        <v>46011</v>
      </c>
      <c r="D6177" t="inlineStr">
        <is>
          <t>VÄSTRA GÖTALANDS LÄN</t>
        </is>
      </c>
      <c r="E6177" t="inlineStr">
        <is>
          <t>FALKÖPING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32508-2025</t>
        </is>
      </c>
      <c r="B6178" s="1" t="n">
        <v>45838.47222222222</v>
      </c>
      <c r="C6178" s="1" t="n">
        <v>46011</v>
      </c>
      <c r="D6178" t="inlineStr">
        <is>
          <t>VÄSTRA GÖTALANDS LÄN</t>
        </is>
      </c>
      <c r="E6178" t="inlineStr">
        <is>
          <t>ULRICEHAMN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32509-2025</t>
        </is>
      </c>
      <c r="B6179" s="1" t="n">
        <v>45838.4722800926</v>
      </c>
      <c r="C6179" s="1" t="n">
        <v>46011</v>
      </c>
      <c r="D6179" t="inlineStr">
        <is>
          <t>VÄSTRA GÖTALANDS LÄN</t>
        </is>
      </c>
      <c r="E6179" t="inlineStr">
        <is>
          <t>BOLLEBYGD</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12318-2022</t>
        </is>
      </c>
      <c r="B6180" s="1" t="n">
        <v>44637</v>
      </c>
      <c r="C6180" s="1" t="n">
        <v>46011</v>
      </c>
      <c r="D6180" t="inlineStr">
        <is>
          <t>VÄSTRA GÖTALANDS LÄN</t>
        </is>
      </c>
      <c r="E6180" t="inlineStr">
        <is>
          <t>ALINGSÅS</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39699-2025</t>
        </is>
      </c>
      <c r="B6181" s="1" t="n">
        <v>45890</v>
      </c>
      <c r="C6181" s="1" t="n">
        <v>46011</v>
      </c>
      <c r="D6181" t="inlineStr">
        <is>
          <t>VÄSTRA GÖTALANDS LÄN</t>
        </is>
      </c>
      <c r="E6181" t="inlineStr">
        <is>
          <t>KARLSBORG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44137-2025</t>
        </is>
      </c>
      <c r="B6182" s="1" t="n">
        <v>45914</v>
      </c>
      <c r="C6182" s="1" t="n">
        <v>46011</v>
      </c>
      <c r="D6182" t="inlineStr">
        <is>
          <t>VÄSTRA GÖTALANDS LÄN</t>
        </is>
      </c>
      <c r="E6182" t="inlineStr">
        <is>
          <t>UDDEVALLA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44083-2025</t>
        </is>
      </c>
      <c r="B6183" s="1" t="n">
        <v>45915.55395833333</v>
      </c>
      <c r="C6183" s="1" t="n">
        <v>46011</v>
      </c>
      <c r="D6183" t="inlineStr">
        <is>
          <t>VÄSTRA GÖTALANDS LÄN</t>
        </is>
      </c>
      <c r="E6183" t="inlineStr">
        <is>
          <t>DALS-ED</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43926-2025</t>
        </is>
      </c>
      <c r="B6184" s="1" t="n">
        <v>45915.31939814815</v>
      </c>
      <c r="C6184" s="1" t="n">
        <v>46011</v>
      </c>
      <c r="D6184" t="inlineStr">
        <is>
          <t>VÄSTRA GÖTALANDS LÄN</t>
        </is>
      </c>
      <c r="E6184" t="inlineStr">
        <is>
          <t>TIDAHOLM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13620-2024</t>
        </is>
      </c>
      <c r="B6185" s="1" t="n">
        <v>45390.37694444445</v>
      </c>
      <c r="C6185" s="1" t="n">
        <v>46011</v>
      </c>
      <c r="D6185" t="inlineStr">
        <is>
          <t>VÄSTRA GÖTALANDS LÄN</t>
        </is>
      </c>
      <c r="E6185" t="inlineStr">
        <is>
          <t>SVENLJUNGA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55317-2024</t>
        </is>
      </c>
      <c r="B6186" s="1" t="n">
        <v>45621.66334490741</v>
      </c>
      <c r="C6186" s="1" t="n">
        <v>46011</v>
      </c>
      <c r="D6186" t="inlineStr">
        <is>
          <t>VÄSTRA GÖTALANDS LÄN</t>
        </is>
      </c>
      <c r="E6186" t="inlineStr">
        <is>
          <t>ÅMÅL</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7152-2024</t>
        </is>
      </c>
      <c r="B6187" s="1" t="n">
        <v>45344.40953703703</v>
      </c>
      <c r="C6187" s="1" t="n">
        <v>46011</v>
      </c>
      <c r="D6187" t="inlineStr">
        <is>
          <t>VÄSTRA GÖTALANDS LÄN</t>
        </is>
      </c>
      <c r="E6187" t="inlineStr">
        <is>
          <t>MELLERUD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43962-2025</t>
        </is>
      </c>
      <c r="B6188" s="1" t="n">
        <v>45915.39197916666</v>
      </c>
      <c r="C6188" s="1" t="n">
        <v>46011</v>
      </c>
      <c r="D6188" t="inlineStr">
        <is>
          <t>VÄSTRA GÖTALANDS LÄN</t>
        </is>
      </c>
      <c r="E6188" t="inlineStr">
        <is>
          <t>BENGTSFORS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41256-2024</t>
        </is>
      </c>
      <c r="B6189" s="1" t="n">
        <v>45559</v>
      </c>
      <c r="C6189" s="1" t="n">
        <v>46011</v>
      </c>
      <c r="D6189" t="inlineStr">
        <is>
          <t>VÄSTRA GÖTALANDS LÄN</t>
        </is>
      </c>
      <c r="E6189" t="inlineStr">
        <is>
          <t>GULLSPÅNG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32238-2025</t>
        </is>
      </c>
      <c r="B6190" s="1" t="n">
        <v>45835.61480324074</v>
      </c>
      <c r="C6190" s="1" t="n">
        <v>46011</v>
      </c>
      <c r="D6190" t="inlineStr">
        <is>
          <t>VÄSTRA GÖTALANDS LÄN</t>
        </is>
      </c>
      <c r="E6190" t="inlineStr">
        <is>
          <t>HERRLJUNGA</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47362-2024</t>
        </is>
      </c>
      <c r="B6191" s="1" t="n">
        <v>45587.4371875</v>
      </c>
      <c r="C6191" s="1" t="n">
        <v>46011</v>
      </c>
      <c r="D6191" t="inlineStr">
        <is>
          <t>VÄSTRA GÖTALANDS LÄN</t>
        </is>
      </c>
      <c r="E6191" t="inlineStr">
        <is>
          <t>HÄRRYDA</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44453-2025</t>
        </is>
      </c>
      <c r="B6192" s="1" t="n">
        <v>45916.60880787037</v>
      </c>
      <c r="C6192" s="1" t="n">
        <v>46011</v>
      </c>
      <c r="D6192" t="inlineStr">
        <is>
          <t>VÄSTRA GÖTALANDS LÄN</t>
        </is>
      </c>
      <c r="E6192" t="inlineStr">
        <is>
          <t>MUNKEDAL</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44143-2025</t>
        </is>
      </c>
      <c r="B6193" s="1" t="n">
        <v>45915.58936342593</v>
      </c>
      <c r="C6193" s="1" t="n">
        <v>46011</v>
      </c>
      <c r="D6193" t="inlineStr">
        <is>
          <t>VÄSTRA GÖTALANDS LÄN</t>
        </is>
      </c>
      <c r="E6193" t="inlineStr">
        <is>
          <t>MUNKEDAL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31939-2025</t>
        </is>
      </c>
      <c r="B6194" s="1" t="n">
        <v>45835.29376157407</v>
      </c>
      <c r="C6194" s="1" t="n">
        <v>46011</v>
      </c>
      <c r="D6194" t="inlineStr">
        <is>
          <t>VÄSTRA GÖTALANDS LÄN</t>
        </is>
      </c>
      <c r="E6194" t="inlineStr">
        <is>
          <t>ULRICEHAMN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48888-2023</t>
        </is>
      </c>
      <c r="B6195" s="1" t="n">
        <v>45209</v>
      </c>
      <c r="C6195" s="1" t="n">
        <v>46011</v>
      </c>
      <c r="D6195" t="inlineStr">
        <is>
          <t>VÄSTRA GÖTALANDS LÄN</t>
        </is>
      </c>
      <c r="E6195" t="inlineStr">
        <is>
          <t>KARLSBORG</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44718-2025</t>
        </is>
      </c>
      <c r="B6196" s="1" t="n">
        <v>45917</v>
      </c>
      <c r="C6196" s="1" t="n">
        <v>46011</v>
      </c>
      <c r="D6196" t="inlineStr">
        <is>
          <t>VÄSTRA GÖTALANDS LÄN</t>
        </is>
      </c>
      <c r="E6196" t="inlineStr">
        <is>
          <t>GULLSPÅNG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44720-2025</t>
        </is>
      </c>
      <c r="B6197" s="1" t="n">
        <v>45917</v>
      </c>
      <c r="C6197" s="1" t="n">
        <v>46011</v>
      </c>
      <c r="D6197" t="inlineStr">
        <is>
          <t>VÄSTRA GÖTALANDS LÄN</t>
        </is>
      </c>
      <c r="E6197" t="inlineStr">
        <is>
          <t>GULLSPÅNG</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32208-2025</t>
        </is>
      </c>
      <c r="B6198" s="1" t="n">
        <v>45835.58302083334</v>
      </c>
      <c r="C6198" s="1" t="n">
        <v>46011</v>
      </c>
      <c r="D6198" t="inlineStr">
        <is>
          <t>VÄSTRA GÖTALANDS LÄN</t>
        </is>
      </c>
      <c r="E6198" t="inlineStr">
        <is>
          <t>ULRICEHAMN</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7308-2021</t>
        </is>
      </c>
      <c r="B6199" s="1" t="n">
        <v>44238</v>
      </c>
      <c r="C6199" s="1" t="n">
        <v>46011</v>
      </c>
      <c r="D6199" t="inlineStr">
        <is>
          <t>VÄSTRA GÖTALANDS LÄN</t>
        </is>
      </c>
      <c r="E6199" t="inlineStr">
        <is>
          <t>MARK</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22050-2023</t>
        </is>
      </c>
      <c r="B6200" s="1" t="n">
        <v>45069</v>
      </c>
      <c r="C6200" s="1" t="n">
        <v>46011</v>
      </c>
      <c r="D6200" t="inlineStr">
        <is>
          <t>VÄSTRA GÖTALANDS LÄN</t>
        </is>
      </c>
      <c r="E6200" t="inlineStr">
        <is>
          <t>HJO</t>
        </is>
      </c>
      <c r="F6200" t="inlineStr">
        <is>
          <t>Sveaskog</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32560-2025</t>
        </is>
      </c>
      <c r="B6201" s="1" t="n">
        <v>45838.57230324074</v>
      </c>
      <c r="C6201" s="1" t="n">
        <v>46011</v>
      </c>
      <c r="D6201" t="inlineStr">
        <is>
          <t>VÄSTRA GÖTALANDS LÄN</t>
        </is>
      </c>
      <c r="E6201" t="inlineStr">
        <is>
          <t>TIDAHOLM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32563-2025</t>
        </is>
      </c>
      <c r="B6202" s="1" t="n">
        <v>45838.57292824074</v>
      </c>
      <c r="C6202" s="1" t="n">
        <v>46011</v>
      </c>
      <c r="D6202" t="inlineStr">
        <is>
          <t>VÄSTRA GÖTALANDS LÄN</t>
        </is>
      </c>
      <c r="E6202" t="inlineStr">
        <is>
          <t>TIDAHOLM</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44914-2025</t>
        </is>
      </c>
      <c r="B6203" s="1" t="n">
        <v>45918.54420138889</v>
      </c>
      <c r="C6203" s="1" t="n">
        <v>46011</v>
      </c>
      <c r="D6203" t="inlineStr">
        <is>
          <t>VÄSTRA GÖTALANDS LÄN</t>
        </is>
      </c>
      <c r="E6203" t="inlineStr">
        <is>
          <t>LILLA EDET</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44915-2025</t>
        </is>
      </c>
      <c r="B6204" s="1" t="n">
        <v>45918.54668981482</v>
      </c>
      <c r="C6204" s="1" t="n">
        <v>46011</v>
      </c>
      <c r="D6204" t="inlineStr">
        <is>
          <t>VÄSTRA GÖTALANDS LÄN</t>
        </is>
      </c>
      <c r="E6204" t="inlineStr">
        <is>
          <t>LILLA EDET</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44918-2025</t>
        </is>
      </c>
      <c r="B6205" s="1" t="n">
        <v>45918.5504050926</v>
      </c>
      <c r="C6205" s="1" t="n">
        <v>46011</v>
      </c>
      <c r="D6205" t="inlineStr">
        <is>
          <t>VÄSTRA GÖTALANDS LÄN</t>
        </is>
      </c>
      <c r="E6205" t="inlineStr">
        <is>
          <t>LILLA EDET</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22443-2023</t>
        </is>
      </c>
      <c r="B6206" s="1" t="n">
        <v>45070</v>
      </c>
      <c r="C6206" s="1" t="n">
        <v>46011</v>
      </c>
      <c r="D6206" t="inlineStr">
        <is>
          <t>VÄSTRA GÖTALANDS LÄN</t>
        </is>
      </c>
      <c r="E6206" t="inlineStr">
        <is>
          <t>BOLLEBYGD</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49781-2024</t>
        </is>
      </c>
      <c r="B6207" s="1" t="n">
        <v>45597.35331018519</v>
      </c>
      <c r="C6207" s="1" t="n">
        <v>46011</v>
      </c>
      <c r="D6207" t="inlineStr">
        <is>
          <t>VÄSTRA GÖTALANDS LÄN</t>
        </is>
      </c>
      <c r="E6207" t="inlineStr">
        <is>
          <t>TROLLHÄTTAN</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11373-2022</t>
        </is>
      </c>
      <c r="B6208" s="1" t="n">
        <v>44630</v>
      </c>
      <c r="C6208" s="1" t="n">
        <v>46011</v>
      </c>
      <c r="D6208" t="inlineStr">
        <is>
          <t>VÄSTRA GÖTALANDS LÄN</t>
        </is>
      </c>
      <c r="E6208" t="inlineStr">
        <is>
          <t>BORÅS</t>
        </is>
      </c>
      <c r="G6208" t="n">
        <v>7.8</v>
      </c>
      <c r="H6208" t="n">
        <v>0</v>
      </c>
      <c r="I6208" t="n">
        <v>0</v>
      </c>
      <c r="J6208" t="n">
        <v>0</v>
      </c>
      <c r="K6208" t="n">
        <v>0</v>
      </c>
      <c r="L6208" t="n">
        <v>0</v>
      </c>
      <c r="M6208" t="n">
        <v>0</v>
      </c>
      <c r="N6208" t="n">
        <v>0</v>
      </c>
      <c r="O6208" t="n">
        <v>0</v>
      </c>
      <c r="P6208" t="n">
        <v>0</v>
      </c>
      <c r="Q6208" t="n">
        <v>0</v>
      </c>
      <c r="R6208" s="2" t="inlineStr"/>
    </row>
    <row r="6209" ht="15" customHeight="1">
      <c r="A6209" t="inlineStr">
        <is>
          <t>A 44589-2025</t>
        </is>
      </c>
      <c r="B6209" s="1" t="n">
        <v>45917.42443287037</v>
      </c>
      <c r="C6209" s="1" t="n">
        <v>46011</v>
      </c>
      <c r="D6209" t="inlineStr">
        <is>
          <t>VÄSTRA GÖTALANDS LÄN</t>
        </is>
      </c>
      <c r="E6209" t="inlineStr">
        <is>
          <t>VÄNERSBORG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44834-2025</t>
        </is>
      </c>
      <c r="B6210" s="1" t="n">
        <v>45918.41196759259</v>
      </c>
      <c r="C6210" s="1" t="n">
        <v>46011</v>
      </c>
      <c r="D6210" t="inlineStr">
        <is>
          <t>VÄSTRA GÖTALANDS LÄN</t>
        </is>
      </c>
      <c r="E6210" t="inlineStr">
        <is>
          <t>ULRICEHAMN</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32176-2025</t>
        </is>
      </c>
      <c r="B6211" s="1" t="n">
        <v>45835</v>
      </c>
      <c r="C6211" s="1" t="n">
        <v>46011</v>
      </c>
      <c r="D6211" t="inlineStr">
        <is>
          <t>VÄSTRA GÖTALANDS LÄN</t>
        </is>
      </c>
      <c r="E6211" t="inlineStr">
        <is>
          <t>ESSUNGA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44878-2025</t>
        </is>
      </c>
      <c r="B6212" s="1" t="n">
        <v>45918</v>
      </c>
      <c r="C6212" s="1" t="n">
        <v>46011</v>
      </c>
      <c r="D6212" t="inlineStr">
        <is>
          <t>VÄSTRA GÖTALANDS LÄN</t>
        </is>
      </c>
      <c r="E6212" t="inlineStr">
        <is>
          <t>SVENLJUNGA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32211-2025</t>
        </is>
      </c>
      <c r="B6213" s="1" t="n">
        <v>45835.58464120371</v>
      </c>
      <c r="C6213" s="1" t="n">
        <v>46011</v>
      </c>
      <c r="D6213" t="inlineStr">
        <is>
          <t>VÄSTRA GÖTALANDS LÄN</t>
        </is>
      </c>
      <c r="E6213" t="inlineStr">
        <is>
          <t>ULRICEHAMN</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44926-2025</t>
        </is>
      </c>
      <c r="B6214" s="1" t="n">
        <v>45918.55856481481</v>
      </c>
      <c r="C6214" s="1" t="n">
        <v>46011</v>
      </c>
      <c r="D6214" t="inlineStr">
        <is>
          <t>VÄSTRA GÖTALANDS LÄN</t>
        </is>
      </c>
      <c r="E6214" t="inlineStr">
        <is>
          <t>MÖLNDAL</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32214-2025</t>
        </is>
      </c>
      <c r="B6215" s="1" t="n">
        <v>45835.58650462963</v>
      </c>
      <c r="C6215" s="1" t="n">
        <v>46011</v>
      </c>
      <c r="D6215" t="inlineStr">
        <is>
          <t>VÄSTRA GÖTALANDS LÄN</t>
        </is>
      </c>
      <c r="E6215" t="inlineStr">
        <is>
          <t>ULRICEHAMN</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32683-2025</t>
        </is>
      </c>
      <c r="B6216" s="1" t="n">
        <v>45838</v>
      </c>
      <c r="C6216" s="1" t="n">
        <v>46011</v>
      </c>
      <c r="D6216" t="inlineStr">
        <is>
          <t>VÄSTRA GÖTALANDS LÄN</t>
        </is>
      </c>
      <c r="E6216" t="inlineStr">
        <is>
          <t>TANUM</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44841-2025</t>
        </is>
      </c>
      <c r="B6217" s="1" t="n">
        <v>45918.4284375</v>
      </c>
      <c r="C6217" s="1" t="n">
        <v>46011</v>
      </c>
      <c r="D6217" t="inlineStr">
        <is>
          <t>VÄSTRA GÖTALANDS LÄN</t>
        </is>
      </c>
      <c r="E6217" t="inlineStr">
        <is>
          <t>VÄNERSBORG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45036-2025</t>
        </is>
      </c>
      <c r="B6218" s="1" t="n">
        <v>45918.70782407407</v>
      </c>
      <c r="C6218" s="1" t="n">
        <v>46011</v>
      </c>
      <c r="D6218" t="inlineStr">
        <is>
          <t>VÄSTRA GÖTALANDS LÄN</t>
        </is>
      </c>
      <c r="E6218" t="inlineStr">
        <is>
          <t>MARIESTAD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43322-2024</t>
        </is>
      </c>
      <c r="B6219" s="1" t="n">
        <v>45568.46953703704</v>
      </c>
      <c r="C6219" s="1" t="n">
        <v>46011</v>
      </c>
      <c r="D6219" t="inlineStr">
        <is>
          <t>VÄSTRA GÖTALANDS LÄN</t>
        </is>
      </c>
      <c r="E6219" t="inlineStr">
        <is>
          <t>MUNKEDAL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32615-2025</t>
        </is>
      </c>
      <c r="B6220" s="1" t="n">
        <v>45838.64232638889</v>
      </c>
      <c r="C6220" s="1" t="n">
        <v>46011</v>
      </c>
      <c r="D6220" t="inlineStr">
        <is>
          <t>VÄSTRA GÖTALANDS LÄN</t>
        </is>
      </c>
      <c r="E6220" t="inlineStr">
        <is>
          <t>ESSUNGA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44552-2025</t>
        </is>
      </c>
      <c r="B6221" s="1" t="n">
        <v>45917.33799768519</v>
      </c>
      <c r="C6221" s="1" t="n">
        <v>46011</v>
      </c>
      <c r="D6221" t="inlineStr">
        <is>
          <t>VÄSTRA GÖTALANDS LÄN</t>
        </is>
      </c>
      <c r="E6221" t="inlineStr">
        <is>
          <t>FÄRGELANDA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44778-2025</t>
        </is>
      </c>
      <c r="B6222" s="1" t="n">
        <v>45917.86079861111</v>
      </c>
      <c r="C6222" s="1" t="n">
        <v>46011</v>
      </c>
      <c r="D6222" t="inlineStr">
        <is>
          <t>VÄSTRA GÖTALANDS LÄN</t>
        </is>
      </c>
      <c r="E6222" t="inlineStr">
        <is>
          <t>LERUM</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44780-2025</t>
        </is>
      </c>
      <c r="B6223" s="1" t="n">
        <v>45917.8653125</v>
      </c>
      <c r="C6223" s="1" t="n">
        <v>46011</v>
      </c>
      <c r="D6223" t="inlineStr">
        <is>
          <t>VÄSTRA GÖTALANDS LÄN</t>
        </is>
      </c>
      <c r="E6223" t="inlineStr">
        <is>
          <t>LERUM</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32322-2025</t>
        </is>
      </c>
      <c r="B6224" s="1" t="n">
        <v>45836.41789351852</v>
      </c>
      <c r="C6224" s="1" t="n">
        <v>46011</v>
      </c>
      <c r="D6224" t="inlineStr">
        <is>
          <t>VÄSTRA GÖTALANDS LÄN</t>
        </is>
      </c>
      <c r="E6224" t="inlineStr">
        <is>
          <t>BORÅS</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32355-2025</t>
        </is>
      </c>
      <c r="B6225" s="1" t="n">
        <v>45837.55134259259</v>
      </c>
      <c r="C6225" s="1" t="n">
        <v>46011</v>
      </c>
      <c r="D6225" t="inlineStr">
        <is>
          <t>VÄSTRA GÖTALANDS LÄN</t>
        </is>
      </c>
      <c r="E6225" t="inlineStr">
        <is>
          <t>LIDKÖPING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32392-2025</t>
        </is>
      </c>
      <c r="B6226" s="1" t="n">
        <v>45837.9102199074</v>
      </c>
      <c r="C6226" s="1" t="n">
        <v>46011</v>
      </c>
      <c r="D6226" t="inlineStr">
        <is>
          <t>VÄSTRA GÖTALANDS LÄN</t>
        </is>
      </c>
      <c r="E6226" t="inlineStr">
        <is>
          <t>KUNGÄLV</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44782-2025</t>
        </is>
      </c>
      <c r="B6227" s="1" t="n">
        <v>45917</v>
      </c>
      <c r="C6227" s="1" t="n">
        <v>46011</v>
      </c>
      <c r="D6227" t="inlineStr">
        <is>
          <t>VÄSTRA GÖTALANDS LÄN</t>
        </is>
      </c>
      <c r="E6227" t="inlineStr">
        <is>
          <t>BORÅS</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44583-2025</t>
        </is>
      </c>
      <c r="B6228" s="1" t="n">
        <v>45917.40908564815</v>
      </c>
      <c r="C6228" s="1" t="n">
        <v>46011</v>
      </c>
      <c r="D6228" t="inlineStr">
        <is>
          <t>VÄSTRA GÖTALANDS LÄN</t>
        </is>
      </c>
      <c r="E6228" t="inlineStr">
        <is>
          <t>VÄNERSBORG</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44595-2025</t>
        </is>
      </c>
      <c r="B6229" s="1" t="n">
        <v>45917.42762731481</v>
      </c>
      <c r="C6229" s="1" t="n">
        <v>46011</v>
      </c>
      <c r="D6229" t="inlineStr">
        <is>
          <t>VÄSTRA GÖTALANDS LÄN</t>
        </is>
      </c>
      <c r="E6229" t="inlineStr">
        <is>
          <t>KARLSBORG</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50935-2022</t>
        </is>
      </c>
      <c r="B6230" s="1" t="n">
        <v>44867</v>
      </c>
      <c r="C6230" s="1" t="n">
        <v>46011</v>
      </c>
      <c r="D6230" t="inlineStr">
        <is>
          <t>VÄSTRA GÖTALANDS LÄN</t>
        </is>
      </c>
      <c r="E6230" t="inlineStr">
        <is>
          <t>TANUM</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32391-2025</t>
        </is>
      </c>
      <c r="B6231" s="1" t="n">
        <v>45837.90662037037</v>
      </c>
      <c r="C6231" s="1" t="n">
        <v>46011</v>
      </c>
      <c r="D6231" t="inlineStr">
        <is>
          <t>VÄSTRA GÖTALANDS LÄN</t>
        </is>
      </c>
      <c r="E6231" t="inlineStr">
        <is>
          <t>KUNGÄLV</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44588-2025</t>
        </is>
      </c>
      <c r="B6232" s="1" t="n">
        <v>45917.4165625</v>
      </c>
      <c r="C6232" s="1" t="n">
        <v>46011</v>
      </c>
      <c r="D6232" t="inlineStr">
        <is>
          <t>VÄSTRA GÖTALANDS LÄN</t>
        </is>
      </c>
      <c r="E6232" t="inlineStr">
        <is>
          <t>VÄNERSBORG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44600-2025</t>
        </is>
      </c>
      <c r="B6233" s="1" t="n">
        <v>45917.43494212963</v>
      </c>
      <c r="C6233" s="1" t="n">
        <v>46011</v>
      </c>
      <c r="D6233" t="inlineStr">
        <is>
          <t>VÄSTRA GÖTALANDS LÄN</t>
        </is>
      </c>
      <c r="E6233" t="inlineStr">
        <is>
          <t>MELLERUD</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38016-2024</t>
        </is>
      </c>
      <c r="B6234" s="1" t="n">
        <v>45544.63393518519</v>
      </c>
      <c r="C6234" s="1" t="n">
        <v>46011</v>
      </c>
      <c r="D6234" t="inlineStr">
        <is>
          <t>VÄSTRA GÖTALANDS LÄN</t>
        </is>
      </c>
      <c r="E6234" t="inlineStr">
        <is>
          <t>TRANEMO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31176-2025</t>
        </is>
      </c>
      <c r="B6235" s="1" t="n">
        <v>45831</v>
      </c>
      <c r="C6235" s="1" t="n">
        <v>46011</v>
      </c>
      <c r="D6235" t="inlineStr">
        <is>
          <t>VÄSTRA GÖTALANDS LÄN</t>
        </is>
      </c>
      <c r="E6235" t="inlineStr">
        <is>
          <t>MUNKEDAL</t>
        </is>
      </c>
      <c r="F6235" t="inlineStr">
        <is>
          <t>Övriga Aktiebolag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23325-2024</t>
        </is>
      </c>
      <c r="B6236" s="1" t="n">
        <v>45453.46512731481</v>
      </c>
      <c r="C6236" s="1" t="n">
        <v>46011</v>
      </c>
      <c r="D6236" t="inlineStr">
        <is>
          <t>VÄSTRA GÖTALANDS LÄN</t>
        </is>
      </c>
      <c r="E6236" t="inlineStr">
        <is>
          <t>BORÅS</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23343-2024</t>
        </is>
      </c>
      <c r="B6237" s="1" t="n">
        <v>45453.50917824074</v>
      </c>
      <c r="C6237" s="1" t="n">
        <v>46011</v>
      </c>
      <c r="D6237" t="inlineStr">
        <is>
          <t>VÄSTRA GÖTALANDS LÄN</t>
        </is>
      </c>
      <c r="E6237" t="inlineStr">
        <is>
          <t>SVENLJUNGA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44916-2025</t>
        </is>
      </c>
      <c r="B6238" s="1" t="n">
        <v>45918.54886574074</v>
      </c>
      <c r="C6238" s="1" t="n">
        <v>46011</v>
      </c>
      <c r="D6238" t="inlineStr">
        <is>
          <t>VÄSTRA GÖTALANDS LÄN</t>
        </is>
      </c>
      <c r="E6238" t="inlineStr">
        <is>
          <t>LILLA EDET</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32526-2025</t>
        </is>
      </c>
      <c r="B6239" s="1" t="n">
        <v>45838.48921296297</v>
      </c>
      <c r="C6239" s="1" t="n">
        <v>46011</v>
      </c>
      <c r="D6239" t="inlineStr">
        <is>
          <t>VÄSTRA GÖTALANDS LÄN</t>
        </is>
      </c>
      <c r="E6239" t="inlineStr">
        <is>
          <t>ULRICEHAMN</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45328-2024</t>
        </is>
      </c>
      <c r="B6240" s="1" t="n">
        <v>45576.45584490741</v>
      </c>
      <c r="C6240" s="1" t="n">
        <v>46011</v>
      </c>
      <c r="D6240" t="inlineStr">
        <is>
          <t>VÄSTRA GÖTALANDS LÄN</t>
        </is>
      </c>
      <c r="E6240" t="inlineStr">
        <is>
          <t>ALINGSÅS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44701-2025</t>
        </is>
      </c>
      <c r="B6241" s="1" t="n">
        <v>45917</v>
      </c>
      <c r="C6241" s="1" t="n">
        <v>46011</v>
      </c>
      <c r="D6241" t="inlineStr">
        <is>
          <t>VÄSTRA GÖTALANDS LÄN</t>
        </is>
      </c>
      <c r="E6241" t="inlineStr">
        <is>
          <t>BENGTSFORS</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45649-2024</t>
        </is>
      </c>
      <c r="B6242" s="1" t="n">
        <v>45579.48623842592</v>
      </c>
      <c r="C6242" s="1" t="n">
        <v>46011</v>
      </c>
      <c r="D6242" t="inlineStr">
        <is>
          <t>VÄSTRA GÖTALANDS LÄN</t>
        </is>
      </c>
      <c r="E6242" t="inlineStr">
        <is>
          <t>TÖREBODA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10115-2023</t>
        </is>
      </c>
      <c r="B6243" s="1" t="n">
        <v>44986.34202546296</v>
      </c>
      <c r="C6243" s="1" t="n">
        <v>46011</v>
      </c>
      <c r="D6243" t="inlineStr">
        <is>
          <t>VÄSTRA GÖTALANDS LÄN</t>
        </is>
      </c>
      <c r="E6243" t="inlineStr">
        <is>
          <t>TIBRO</t>
        </is>
      </c>
      <c r="F6243" t="inlineStr">
        <is>
          <t>Sveaskog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32553-2025</t>
        </is>
      </c>
      <c r="B6244" s="1" t="n">
        <v>45838.55416666667</v>
      </c>
      <c r="C6244" s="1" t="n">
        <v>46011</v>
      </c>
      <c r="D6244" t="inlineStr">
        <is>
          <t>VÄSTRA GÖTALANDS LÄN</t>
        </is>
      </c>
      <c r="E6244" t="inlineStr">
        <is>
          <t>MARK</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32561-2025</t>
        </is>
      </c>
      <c r="B6245" s="1" t="n">
        <v>45838.57253472223</v>
      </c>
      <c r="C6245" s="1" t="n">
        <v>46011</v>
      </c>
      <c r="D6245" t="inlineStr">
        <is>
          <t>VÄSTRA GÖTALANDS LÄN</t>
        </is>
      </c>
      <c r="E6245" t="inlineStr">
        <is>
          <t>TIDAHOLM</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44755-2025</t>
        </is>
      </c>
      <c r="B6246" s="1" t="n">
        <v>45917.69334490741</v>
      </c>
      <c r="C6246" s="1" t="n">
        <v>46011</v>
      </c>
      <c r="D6246" t="inlineStr">
        <is>
          <t>VÄSTRA GÖTALANDS LÄN</t>
        </is>
      </c>
      <c r="E6246" t="inlineStr">
        <is>
          <t>TRANEMO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32617-2025</t>
        </is>
      </c>
      <c r="B6247" s="1" t="n">
        <v>45838.64310185185</v>
      </c>
      <c r="C6247" s="1" t="n">
        <v>46011</v>
      </c>
      <c r="D6247" t="inlineStr">
        <is>
          <t>VÄSTRA GÖTALANDS LÄN</t>
        </is>
      </c>
      <c r="E6247" t="inlineStr">
        <is>
          <t>MUNKEDAL</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20536-2023</t>
        </is>
      </c>
      <c r="B6248" s="1" t="n">
        <v>45057</v>
      </c>
      <c r="C6248" s="1" t="n">
        <v>46011</v>
      </c>
      <c r="D6248" t="inlineStr">
        <is>
          <t>VÄSTRA GÖTALANDS LÄN</t>
        </is>
      </c>
      <c r="E6248" t="inlineStr">
        <is>
          <t>VÄNERSBORG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44819-2025</t>
        </is>
      </c>
      <c r="B6249" s="1" t="n">
        <v>45918.38085648148</v>
      </c>
      <c r="C6249" s="1" t="n">
        <v>46011</v>
      </c>
      <c r="D6249" t="inlineStr">
        <is>
          <t>VÄSTRA GÖTALANDS LÄN</t>
        </is>
      </c>
      <c r="E6249" t="inlineStr">
        <is>
          <t>SKARA</t>
        </is>
      </c>
      <c r="F6249" t="inlineStr">
        <is>
          <t>Sveaskog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32597-2025</t>
        </is>
      </c>
      <c r="B6250" s="1" t="n">
        <v>45838.61827546296</v>
      </c>
      <c r="C6250" s="1" t="n">
        <v>46011</v>
      </c>
      <c r="D6250" t="inlineStr">
        <is>
          <t>VÄSTRA GÖTALANDS LÄN</t>
        </is>
      </c>
      <c r="E6250" t="inlineStr">
        <is>
          <t>ULRICEHAMN</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32506-2025</t>
        </is>
      </c>
      <c r="B6251" s="1" t="n">
        <v>45838.4687037037</v>
      </c>
      <c r="C6251" s="1" t="n">
        <v>46011</v>
      </c>
      <c r="D6251" t="inlineStr">
        <is>
          <t>VÄSTRA GÖTALANDS LÄN</t>
        </is>
      </c>
      <c r="E6251" t="inlineStr">
        <is>
          <t>BOLLEBYGD</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19144-2023</t>
        </is>
      </c>
      <c r="B6252" s="1" t="n">
        <v>45048</v>
      </c>
      <c r="C6252" s="1" t="n">
        <v>46011</v>
      </c>
      <c r="D6252" t="inlineStr">
        <is>
          <t>VÄSTRA GÖTALANDS LÄN</t>
        </is>
      </c>
      <c r="E6252" t="inlineStr">
        <is>
          <t>TIDAHOLM</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44997-2025</t>
        </is>
      </c>
      <c r="B6253" s="1" t="n">
        <v>45918.65954861111</v>
      </c>
      <c r="C6253" s="1" t="n">
        <v>46011</v>
      </c>
      <c r="D6253" t="inlineStr">
        <is>
          <t>VÄSTRA GÖTALANDS LÄN</t>
        </is>
      </c>
      <c r="E6253" t="inlineStr">
        <is>
          <t>TRANEMO</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32155-2025</t>
        </is>
      </c>
      <c r="B6254" s="1" t="n">
        <v>45835</v>
      </c>
      <c r="C6254" s="1" t="n">
        <v>46011</v>
      </c>
      <c r="D6254" t="inlineStr">
        <is>
          <t>VÄSTRA GÖTALANDS LÄN</t>
        </is>
      </c>
      <c r="E6254" t="inlineStr">
        <is>
          <t>TÖREBODA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8535-2023</t>
        </is>
      </c>
      <c r="B6255" s="1" t="n">
        <v>44977</v>
      </c>
      <c r="C6255" s="1" t="n">
        <v>46011</v>
      </c>
      <c r="D6255" t="inlineStr">
        <is>
          <t>VÄSTRA GÖTALANDS LÄN</t>
        </is>
      </c>
      <c r="E6255" t="inlineStr">
        <is>
          <t>ÅMÅL</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45019-2025</t>
        </is>
      </c>
      <c r="B6256" s="1" t="n">
        <v>45918.67821759259</v>
      </c>
      <c r="C6256" s="1" t="n">
        <v>46011</v>
      </c>
      <c r="D6256" t="inlineStr">
        <is>
          <t>VÄSTRA GÖTALANDS LÄN</t>
        </is>
      </c>
      <c r="E6256" t="inlineStr">
        <is>
          <t>ÅMÅL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44597-2025</t>
        </is>
      </c>
      <c r="B6257" s="1" t="n">
        <v>45917.4290625</v>
      </c>
      <c r="C6257" s="1" t="n">
        <v>46011</v>
      </c>
      <c r="D6257" t="inlineStr">
        <is>
          <t>VÄSTRA GÖTALANDS LÄN</t>
        </is>
      </c>
      <c r="E6257" t="inlineStr">
        <is>
          <t>VÄNERSBORG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44604-2025</t>
        </is>
      </c>
      <c r="B6258" s="1" t="n">
        <v>45908</v>
      </c>
      <c r="C6258" s="1" t="n">
        <v>46011</v>
      </c>
      <c r="D6258" t="inlineStr">
        <is>
          <t>VÄSTRA GÖTALANDS LÄN</t>
        </is>
      </c>
      <c r="E6258" t="inlineStr">
        <is>
          <t>MUNKEDAL</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19911-2023</t>
        </is>
      </c>
      <c r="B6259" s="1" t="n">
        <v>45054</v>
      </c>
      <c r="C6259" s="1" t="n">
        <v>46011</v>
      </c>
      <c r="D6259" t="inlineStr">
        <is>
          <t>VÄSTRA GÖTALANDS LÄN</t>
        </is>
      </c>
      <c r="E6259" t="inlineStr">
        <is>
          <t>BORÅS</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44546-2025</t>
        </is>
      </c>
      <c r="B6260" s="1" t="n">
        <v>45917.32519675926</v>
      </c>
      <c r="C6260" s="1" t="n">
        <v>46011</v>
      </c>
      <c r="D6260" t="inlineStr">
        <is>
          <t>VÄSTRA GÖTALANDS LÄN</t>
        </is>
      </c>
      <c r="E6260" t="inlineStr">
        <is>
          <t>MELLERUD</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44578-2025</t>
        </is>
      </c>
      <c r="B6261" s="1" t="n">
        <v>45917.40295138889</v>
      </c>
      <c r="C6261" s="1" t="n">
        <v>46011</v>
      </c>
      <c r="D6261" t="inlineStr">
        <is>
          <t>VÄSTRA GÖTALANDS LÄN</t>
        </is>
      </c>
      <c r="E6261" t="inlineStr">
        <is>
          <t>VÄNERSBORG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44584-2025</t>
        </is>
      </c>
      <c r="B6262" s="1" t="n">
        <v>45917.41353009259</v>
      </c>
      <c r="C6262" s="1" t="n">
        <v>46011</v>
      </c>
      <c r="D6262" t="inlineStr">
        <is>
          <t>VÄSTRA GÖTALANDS LÄN</t>
        </is>
      </c>
      <c r="E6262" t="inlineStr">
        <is>
          <t>VÄNERSBORG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32268-2025</t>
        </is>
      </c>
      <c r="B6263" s="1" t="n">
        <v>45835.6525925926</v>
      </c>
      <c r="C6263" s="1" t="n">
        <v>46011</v>
      </c>
      <c r="D6263" t="inlineStr">
        <is>
          <t>VÄSTRA GÖTALANDS LÄN</t>
        </is>
      </c>
      <c r="E6263" t="inlineStr">
        <is>
          <t>BENGTSFORS</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8576-2023</t>
        </is>
      </c>
      <c r="B6264" s="1" t="n">
        <v>44977</v>
      </c>
      <c r="C6264" s="1" t="n">
        <v>46011</v>
      </c>
      <c r="D6264" t="inlineStr">
        <is>
          <t>VÄSTRA GÖTALANDS LÄN</t>
        </is>
      </c>
      <c r="E6264" t="inlineStr">
        <is>
          <t>STENUNGSUND</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44653-2025</t>
        </is>
      </c>
      <c r="B6265" s="1" t="n">
        <v>45917.54449074074</v>
      </c>
      <c r="C6265" s="1" t="n">
        <v>46011</v>
      </c>
      <c r="D6265" t="inlineStr">
        <is>
          <t>VÄSTRA GÖTALANDS LÄN</t>
        </is>
      </c>
      <c r="E6265" t="inlineStr">
        <is>
          <t>BENGTSFORS</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44654-2025</t>
        </is>
      </c>
      <c r="B6266" s="1" t="n">
        <v>45917.54532407408</v>
      </c>
      <c r="C6266" s="1" t="n">
        <v>46011</v>
      </c>
      <c r="D6266" t="inlineStr">
        <is>
          <t>VÄSTRA GÖTALANDS LÄN</t>
        </is>
      </c>
      <c r="E6266" t="inlineStr">
        <is>
          <t>BENGTSFORS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32558-2025</t>
        </is>
      </c>
      <c r="B6267" s="1" t="n">
        <v>45838.56883101852</v>
      </c>
      <c r="C6267" s="1" t="n">
        <v>46011</v>
      </c>
      <c r="D6267" t="inlineStr">
        <is>
          <t>VÄSTRA GÖTALANDS LÄN</t>
        </is>
      </c>
      <c r="E6267" t="inlineStr">
        <is>
          <t>SVENLJUNGA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15102-2024</t>
        </is>
      </c>
      <c r="B6268" s="1" t="n">
        <v>45399.66299768518</v>
      </c>
      <c r="C6268" s="1" t="n">
        <v>46011</v>
      </c>
      <c r="D6268" t="inlineStr">
        <is>
          <t>VÄSTRA GÖTALANDS LÄN</t>
        </is>
      </c>
      <c r="E6268" t="inlineStr">
        <is>
          <t>VÄNERSBORG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43207-2025</t>
        </is>
      </c>
      <c r="B6269" s="1" t="n">
        <v>45910.45111111111</v>
      </c>
      <c r="C6269" s="1" t="n">
        <v>46011</v>
      </c>
      <c r="D6269" t="inlineStr">
        <is>
          <t>VÄSTRA GÖTALANDS LÄN</t>
        </is>
      </c>
      <c r="E6269" t="inlineStr">
        <is>
          <t>KUNGÄLV</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45011-2025</t>
        </is>
      </c>
      <c r="B6270" s="1" t="n">
        <v>45918.67297453704</v>
      </c>
      <c r="C6270" s="1" t="n">
        <v>46011</v>
      </c>
      <c r="D6270" t="inlineStr">
        <is>
          <t>VÄSTRA GÖTALANDS LÄN</t>
        </is>
      </c>
      <c r="E6270" t="inlineStr">
        <is>
          <t>GÖTENE</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41942-2021</t>
        </is>
      </c>
      <c r="B6271" s="1" t="n">
        <v>44425</v>
      </c>
      <c r="C6271" s="1" t="n">
        <v>46011</v>
      </c>
      <c r="D6271" t="inlineStr">
        <is>
          <t>VÄSTRA GÖTALANDS LÄN</t>
        </is>
      </c>
      <c r="E6271" t="inlineStr">
        <is>
          <t>SKÖVDE</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10586-2024</t>
        </is>
      </c>
      <c r="B6272" s="1" t="n">
        <v>45366.69975694444</v>
      </c>
      <c r="C6272" s="1" t="n">
        <v>46011</v>
      </c>
      <c r="D6272" t="inlineStr">
        <is>
          <t>VÄSTRA GÖTALANDS LÄN</t>
        </is>
      </c>
      <c r="E6272" t="inlineStr">
        <is>
          <t>VÅRGÅRDA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45004-2025</t>
        </is>
      </c>
      <c r="B6273" s="1" t="n">
        <v>45918.66608796296</v>
      </c>
      <c r="C6273" s="1" t="n">
        <v>46011</v>
      </c>
      <c r="D6273" t="inlineStr">
        <is>
          <t>VÄSTRA GÖTALANDS LÄN</t>
        </is>
      </c>
      <c r="E6273" t="inlineStr">
        <is>
          <t>HERRLJUNGA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45005-2025</t>
        </is>
      </c>
      <c r="B6274" s="1" t="n">
        <v>45918.66677083333</v>
      </c>
      <c r="C6274" s="1" t="n">
        <v>46011</v>
      </c>
      <c r="D6274" t="inlineStr">
        <is>
          <t>VÄSTRA GÖTALANDS LÄN</t>
        </is>
      </c>
      <c r="E6274" t="inlineStr">
        <is>
          <t>SVENLJUNGA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44991-2025</t>
        </is>
      </c>
      <c r="B6275" s="1" t="n">
        <v>45918.65642361111</v>
      </c>
      <c r="C6275" s="1" t="n">
        <v>46011</v>
      </c>
      <c r="D6275" t="inlineStr">
        <is>
          <t>VÄSTRA GÖTALANDS LÄN</t>
        </is>
      </c>
      <c r="E6275" t="inlineStr">
        <is>
          <t>SVENLJUNGA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32323-2025</t>
        </is>
      </c>
      <c r="B6276" s="1" t="n">
        <v>45836.42394675926</v>
      </c>
      <c r="C6276" s="1" t="n">
        <v>46011</v>
      </c>
      <c r="D6276" t="inlineStr">
        <is>
          <t>VÄSTRA GÖTALANDS LÄN</t>
        </is>
      </c>
      <c r="E6276" t="inlineStr">
        <is>
          <t>BORÅS</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32225-2025</t>
        </is>
      </c>
      <c r="B6277" s="1" t="n">
        <v>45835.59469907408</v>
      </c>
      <c r="C6277" s="1" t="n">
        <v>46011</v>
      </c>
      <c r="D6277" t="inlineStr">
        <is>
          <t>VÄSTRA GÖTALANDS LÄN</t>
        </is>
      </c>
      <c r="E6277" t="inlineStr">
        <is>
          <t>FÄRGELANDA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10596-2024</t>
        </is>
      </c>
      <c r="B6278" s="1" t="n">
        <v>45366.78552083333</v>
      </c>
      <c r="C6278" s="1" t="n">
        <v>46011</v>
      </c>
      <c r="D6278" t="inlineStr">
        <is>
          <t>VÄSTRA GÖTALANDS LÄN</t>
        </is>
      </c>
      <c r="E6278" t="inlineStr">
        <is>
          <t>GÖTENE</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69663-2020</t>
        </is>
      </c>
      <c r="B6279" s="1" t="n">
        <v>44195</v>
      </c>
      <c r="C6279" s="1" t="n">
        <v>46011</v>
      </c>
      <c r="D6279" t="inlineStr">
        <is>
          <t>VÄSTRA GÖTALANDS LÄN</t>
        </is>
      </c>
      <c r="E6279" t="inlineStr">
        <is>
          <t>MARK</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32270-2025</t>
        </is>
      </c>
      <c r="B6280" s="1" t="n">
        <v>45835.65546296296</v>
      </c>
      <c r="C6280" s="1" t="n">
        <v>46011</v>
      </c>
      <c r="D6280" t="inlineStr">
        <is>
          <t>VÄSTRA GÖTALANDS LÄN</t>
        </is>
      </c>
      <c r="E6280" t="inlineStr">
        <is>
          <t>FALKÖPING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44783-2025</t>
        </is>
      </c>
      <c r="B6281" s="1" t="n">
        <v>45917.89658564814</v>
      </c>
      <c r="C6281" s="1" t="n">
        <v>46011</v>
      </c>
      <c r="D6281" t="inlineStr">
        <is>
          <t>VÄSTRA GÖTALANDS LÄN</t>
        </is>
      </c>
      <c r="E6281" t="inlineStr">
        <is>
          <t>BORÅS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31984-2025</t>
        </is>
      </c>
      <c r="B6282" s="1" t="n">
        <v>45835.36079861111</v>
      </c>
      <c r="C6282" s="1" t="n">
        <v>46011</v>
      </c>
      <c r="D6282" t="inlineStr">
        <is>
          <t>VÄSTRA GÖTALANDS LÄN</t>
        </is>
      </c>
      <c r="E6282" t="inlineStr">
        <is>
          <t>FÄRGELANDA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32294-2025</t>
        </is>
      </c>
      <c r="B6283" s="1" t="n">
        <v>45835</v>
      </c>
      <c r="C6283" s="1" t="n">
        <v>46011</v>
      </c>
      <c r="D6283" t="inlineStr">
        <is>
          <t>VÄSTRA GÖTALANDS LÄN</t>
        </is>
      </c>
      <c r="E6283" t="inlineStr">
        <is>
          <t>ULRICEHAMN</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44777-2025</t>
        </is>
      </c>
      <c r="B6284" s="1" t="n">
        <v>45917.85200231482</v>
      </c>
      <c r="C6284" s="1" t="n">
        <v>46011</v>
      </c>
      <c r="D6284" t="inlineStr">
        <is>
          <t>VÄSTRA GÖTALANDS LÄN</t>
        </is>
      </c>
      <c r="E6284" t="inlineStr">
        <is>
          <t>BORÅS</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44781-2025</t>
        </is>
      </c>
      <c r="B6285" s="1" t="n">
        <v>45917.86940972223</v>
      </c>
      <c r="C6285" s="1" t="n">
        <v>46011</v>
      </c>
      <c r="D6285" t="inlineStr">
        <is>
          <t>VÄSTRA GÖTALANDS LÄN</t>
        </is>
      </c>
      <c r="E6285" t="inlineStr">
        <is>
          <t>BORÅS</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44810-2025</t>
        </is>
      </c>
      <c r="B6286" s="1" t="n">
        <v>45918.37016203703</v>
      </c>
      <c r="C6286" s="1" t="n">
        <v>46011</v>
      </c>
      <c r="D6286" t="inlineStr">
        <is>
          <t>VÄSTRA GÖTALANDS LÄN</t>
        </is>
      </c>
      <c r="E6286" t="inlineStr">
        <is>
          <t>FALKÖPING</t>
        </is>
      </c>
      <c r="F6286" t="inlineStr">
        <is>
          <t>Kyrkan</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45578-2024</t>
        </is>
      </c>
      <c r="B6287" s="1" t="n">
        <v>45578</v>
      </c>
      <c r="C6287" s="1" t="n">
        <v>46011</v>
      </c>
      <c r="D6287" t="inlineStr">
        <is>
          <t>VÄSTRA GÖTALANDS LÄN</t>
        </is>
      </c>
      <c r="E6287" t="inlineStr">
        <is>
          <t>STRÖMSTAD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32532-2025</t>
        </is>
      </c>
      <c r="B6288" s="1" t="n">
        <v>45838.49251157408</v>
      </c>
      <c r="C6288" s="1" t="n">
        <v>46011</v>
      </c>
      <c r="D6288" t="inlineStr">
        <is>
          <t>VÄSTRA GÖTALANDS LÄN</t>
        </is>
      </c>
      <c r="E6288" t="inlineStr">
        <is>
          <t>ULRICEHAMN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44573-2025</t>
        </is>
      </c>
      <c r="B6289" s="1" t="n">
        <v>45917.3941550926</v>
      </c>
      <c r="C6289" s="1" t="n">
        <v>46011</v>
      </c>
      <c r="D6289" t="inlineStr">
        <is>
          <t>VÄSTRA GÖTALANDS LÄN</t>
        </is>
      </c>
      <c r="E6289" t="inlineStr">
        <is>
          <t>MELLERUD</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42852-2025</t>
        </is>
      </c>
      <c r="B6290" s="1" t="n">
        <v>45908</v>
      </c>
      <c r="C6290" s="1" t="n">
        <v>46011</v>
      </c>
      <c r="D6290" t="inlineStr">
        <is>
          <t>VÄSTRA GÖTALANDS LÄN</t>
        </is>
      </c>
      <c r="E6290" t="inlineStr">
        <is>
          <t>MUNKEDAL</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32095-2025</t>
        </is>
      </c>
      <c r="B6291" s="1" t="n">
        <v>45835.46107638889</v>
      </c>
      <c r="C6291" s="1" t="n">
        <v>46011</v>
      </c>
      <c r="D6291" t="inlineStr">
        <is>
          <t>VÄSTRA GÖTALANDS LÄN</t>
        </is>
      </c>
      <c r="E6291" t="inlineStr">
        <is>
          <t>LERUM</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32261-2025</t>
        </is>
      </c>
      <c r="B6292" s="1" t="n">
        <v>45835.64762731481</v>
      </c>
      <c r="C6292" s="1" t="n">
        <v>46011</v>
      </c>
      <c r="D6292" t="inlineStr">
        <is>
          <t>VÄSTRA GÖTALANDS LÄN</t>
        </is>
      </c>
      <c r="E6292" t="inlineStr">
        <is>
          <t>FALKÖPING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44990-2025</t>
        </is>
      </c>
      <c r="B6293" s="1" t="n">
        <v>45918.65589120371</v>
      </c>
      <c r="C6293" s="1" t="n">
        <v>46011</v>
      </c>
      <c r="D6293" t="inlineStr">
        <is>
          <t>VÄSTRA GÖTALANDS LÄN</t>
        </is>
      </c>
      <c r="E6293" t="inlineStr">
        <is>
          <t>FÄRGELANDA</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32512-2025</t>
        </is>
      </c>
      <c r="B6294" s="1" t="n">
        <v>45838.47398148148</v>
      </c>
      <c r="C6294" s="1" t="n">
        <v>46011</v>
      </c>
      <c r="D6294" t="inlineStr">
        <is>
          <t>VÄSTRA GÖTALANDS LÄN</t>
        </is>
      </c>
      <c r="E6294" t="inlineStr">
        <is>
          <t>ULRICEHAMN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45007-2025</t>
        </is>
      </c>
      <c r="B6295" s="1" t="n">
        <v>45918.66829861111</v>
      </c>
      <c r="C6295" s="1" t="n">
        <v>46011</v>
      </c>
      <c r="D6295" t="inlineStr">
        <is>
          <t>VÄSTRA GÖTALANDS LÄN</t>
        </is>
      </c>
      <c r="E6295" t="inlineStr">
        <is>
          <t>GÖTENE</t>
        </is>
      </c>
      <c r="G6295" t="n">
        <v>0</v>
      </c>
      <c r="H6295" t="n">
        <v>0</v>
      </c>
      <c r="I6295" t="n">
        <v>0</v>
      </c>
      <c r="J6295" t="n">
        <v>0</v>
      </c>
      <c r="K6295" t="n">
        <v>0</v>
      </c>
      <c r="L6295" t="n">
        <v>0</v>
      </c>
      <c r="M6295" t="n">
        <v>0</v>
      </c>
      <c r="N6295" t="n">
        <v>0</v>
      </c>
      <c r="O6295" t="n">
        <v>0</v>
      </c>
      <c r="P6295" t="n">
        <v>0</v>
      </c>
      <c r="Q6295" t="n">
        <v>0</v>
      </c>
      <c r="R6295" s="2" t="inlineStr"/>
    </row>
    <row r="6296" ht="15" customHeight="1">
      <c r="A6296" t="inlineStr">
        <is>
          <t>A 45025-2025</t>
        </is>
      </c>
      <c r="B6296" s="1" t="n">
        <v>45918.69027777778</v>
      </c>
      <c r="C6296" s="1" t="n">
        <v>46011</v>
      </c>
      <c r="D6296" t="inlineStr">
        <is>
          <t>VÄSTRA GÖTALANDS LÄN</t>
        </is>
      </c>
      <c r="E6296" t="inlineStr">
        <is>
          <t>MARK</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15098-2024</t>
        </is>
      </c>
      <c r="B6297" s="1" t="n">
        <v>45399.65960648148</v>
      </c>
      <c r="C6297" s="1" t="n">
        <v>46011</v>
      </c>
      <c r="D6297" t="inlineStr">
        <is>
          <t>VÄSTRA GÖTALANDS LÄN</t>
        </is>
      </c>
      <c r="E6297" t="inlineStr">
        <is>
          <t>TRANEMO</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32649-2025</t>
        </is>
      </c>
      <c r="B6298" s="1" t="n">
        <v>45838.67418981482</v>
      </c>
      <c r="C6298" s="1" t="n">
        <v>46011</v>
      </c>
      <c r="D6298" t="inlineStr">
        <is>
          <t>VÄSTRA GÖTALANDS LÄN</t>
        </is>
      </c>
      <c r="E6298" t="inlineStr">
        <is>
          <t>MARK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34909-2023</t>
        </is>
      </c>
      <c r="B6299" s="1" t="n">
        <v>45141</v>
      </c>
      <c r="C6299" s="1" t="n">
        <v>46011</v>
      </c>
      <c r="D6299" t="inlineStr">
        <is>
          <t>VÄSTRA GÖTALANDS LÄN</t>
        </is>
      </c>
      <c r="E6299" t="inlineStr">
        <is>
          <t>TROLLHÄTTAN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44818-2025</t>
        </is>
      </c>
      <c r="B6300" s="1" t="n">
        <v>45918.37908564815</v>
      </c>
      <c r="C6300" s="1" t="n">
        <v>46011</v>
      </c>
      <c r="D6300" t="inlineStr">
        <is>
          <t>VÄSTRA GÖTALANDS LÄN</t>
        </is>
      </c>
      <c r="E6300" t="inlineStr">
        <is>
          <t>ULRICEHAMN</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14132-2024</t>
        </is>
      </c>
      <c r="B6301" s="1" t="n">
        <v>45392.71190972222</v>
      </c>
      <c r="C6301" s="1" t="n">
        <v>46011</v>
      </c>
      <c r="D6301" t="inlineStr">
        <is>
          <t>VÄSTRA GÖTALANDS LÄN</t>
        </is>
      </c>
      <c r="E6301" t="inlineStr">
        <is>
          <t>MARK</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32293-2025</t>
        </is>
      </c>
      <c r="B6302" s="1" t="n">
        <v>45835</v>
      </c>
      <c r="C6302" s="1" t="n">
        <v>46011</v>
      </c>
      <c r="D6302" t="inlineStr">
        <is>
          <t>VÄSTRA GÖTALANDS LÄN</t>
        </is>
      </c>
      <c r="E6302" t="inlineStr">
        <is>
          <t>ULRICEHAMN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32295-2025</t>
        </is>
      </c>
      <c r="B6303" s="1" t="n">
        <v>45835.70679398148</v>
      </c>
      <c r="C6303" s="1" t="n">
        <v>46011</v>
      </c>
      <c r="D6303" t="inlineStr">
        <is>
          <t>VÄSTRA GÖTALANDS LÄN</t>
        </is>
      </c>
      <c r="E6303" t="inlineStr">
        <is>
          <t>TRANEMO</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44913-2025</t>
        </is>
      </c>
      <c r="B6304" s="1" t="n">
        <v>45918.54395833334</v>
      </c>
      <c r="C6304" s="1" t="n">
        <v>46011</v>
      </c>
      <c r="D6304" t="inlineStr">
        <is>
          <t>VÄSTRA GÖTALANDS LÄN</t>
        </is>
      </c>
      <c r="E6304" t="inlineStr">
        <is>
          <t>ULRICEHAMN</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44530-2025</t>
        </is>
      </c>
      <c r="B6305" s="1" t="n">
        <v>45916.75508101852</v>
      </c>
      <c r="C6305" s="1" t="n">
        <v>46011</v>
      </c>
      <c r="D6305" t="inlineStr">
        <is>
          <t>VÄSTRA GÖTALANDS LÄN</t>
        </is>
      </c>
      <c r="E6305" t="inlineStr">
        <is>
          <t>ALINGSÅS</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44575-2025</t>
        </is>
      </c>
      <c r="B6306" s="1" t="n">
        <v>45917.40004629629</v>
      </c>
      <c r="C6306" s="1" t="n">
        <v>46011</v>
      </c>
      <c r="D6306" t="inlineStr">
        <is>
          <t>VÄSTRA GÖTALANDS LÄN</t>
        </is>
      </c>
      <c r="E6306" t="inlineStr">
        <is>
          <t>VÄNERSBORG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55618-2023</t>
        </is>
      </c>
      <c r="B6307" s="1" t="n">
        <v>45238.825625</v>
      </c>
      <c r="C6307" s="1" t="n">
        <v>46011</v>
      </c>
      <c r="D6307" t="inlineStr">
        <is>
          <t>VÄSTRA GÖTALANDS LÄN</t>
        </is>
      </c>
      <c r="E6307" t="inlineStr">
        <is>
          <t>VÄNERSBORG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31953-2025</t>
        </is>
      </c>
      <c r="B6308" s="1" t="n">
        <v>45835.33660879629</v>
      </c>
      <c r="C6308" s="1" t="n">
        <v>46011</v>
      </c>
      <c r="D6308" t="inlineStr">
        <is>
          <t>VÄSTRA GÖTALANDS LÄN</t>
        </is>
      </c>
      <c r="E6308" t="inlineStr">
        <is>
          <t>SVENLJUNGA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34195-2025</t>
        </is>
      </c>
      <c r="B6309" s="1" t="n">
        <v>45845</v>
      </c>
      <c r="C6309" s="1" t="n">
        <v>46011</v>
      </c>
      <c r="D6309" t="inlineStr">
        <is>
          <t>VÄSTRA GÖTALANDS LÄN</t>
        </is>
      </c>
      <c r="E6309" t="inlineStr">
        <is>
          <t>BORÅS</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31996-2025</t>
        </is>
      </c>
      <c r="B6310" s="1" t="n">
        <v>45835.37305555555</v>
      </c>
      <c r="C6310" s="1" t="n">
        <v>46011</v>
      </c>
      <c r="D6310" t="inlineStr">
        <is>
          <t>VÄSTRA GÖTALANDS LÄN</t>
        </is>
      </c>
      <c r="E6310" t="inlineStr">
        <is>
          <t>FÄRGELANDA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45009-2025</t>
        </is>
      </c>
      <c r="B6311" s="1" t="n">
        <v>45918.67119212963</v>
      </c>
      <c r="C6311" s="1" t="n">
        <v>46011</v>
      </c>
      <c r="D6311" t="inlineStr">
        <is>
          <t>VÄSTRA GÖTALANDS LÄN</t>
        </is>
      </c>
      <c r="E6311" t="inlineStr">
        <is>
          <t>GÖTENE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45010-2025</t>
        </is>
      </c>
      <c r="B6312" s="1" t="n">
        <v>45918.67211805555</v>
      </c>
      <c r="C6312" s="1" t="n">
        <v>46011</v>
      </c>
      <c r="D6312" t="inlineStr">
        <is>
          <t>VÄSTRA GÖTALANDS LÄN</t>
        </is>
      </c>
      <c r="E6312" t="inlineStr">
        <is>
          <t>GÖTENE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45013-2025</t>
        </is>
      </c>
      <c r="B6313" s="1" t="n">
        <v>45918.67410879629</v>
      </c>
      <c r="C6313" s="1" t="n">
        <v>46011</v>
      </c>
      <c r="D6313" t="inlineStr">
        <is>
          <t>VÄSTRA GÖTALANDS LÄN</t>
        </is>
      </c>
      <c r="E6313" t="inlineStr">
        <is>
          <t>GÖTENE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32093-2025</t>
        </is>
      </c>
      <c r="B6314" s="1" t="n">
        <v>45835.45971064815</v>
      </c>
      <c r="C6314" s="1" t="n">
        <v>46011</v>
      </c>
      <c r="D6314" t="inlineStr">
        <is>
          <t>VÄSTRA GÖTALANDS LÄN</t>
        </is>
      </c>
      <c r="E6314" t="inlineStr">
        <is>
          <t>LERUM</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32128-2025</t>
        </is>
      </c>
      <c r="B6315" s="1" t="n">
        <v>45835.50236111111</v>
      </c>
      <c r="C6315" s="1" t="n">
        <v>46011</v>
      </c>
      <c r="D6315" t="inlineStr">
        <is>
          <t>VÄSTRA GÖTALANDS LÄN</t>
        </is>
      </c>
      <c r="E6315" t="inlineStr">
        <is>
          <t>KARLSBORG</t>
        </is>
      </c>
      <c r="F6315" t="inlineStr">
        <is>
          <t>Sveaskog</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44940-2025</t>
        </is>
      </c>
      <c r="B6316" s="1" t="n">
        <v>45918.58409722222</v>
      </c>
      <c r="C6316" s="1" t="n">
        <v>46011</v>
      </c>
      <c r="D6316" t="inlineStr">
        <is>
          <t>VÄSTRA GÖTALANDS LÄN</t>
        </is>
      </c>
      <c r="E6316" t="inlineStr">
        <is>
          <t>MUNKEDAL</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18754-2025</t>
        </is>
      </c>
      <c r="B6317" s="1" t="n">
        <v>45763.80842592593</v>
      </c>
      <c r="C6317" s="1" t="n">
        <v>46011</v>
      </c>
      <c r="D6317" t="inlineStr">
        <is>
          <t>VÄSTRA GÖTALANDS LÄN</t>
        </is>
      </c>
      <c r="E6317" t="inlineStr">
        <is>
          <t>HERRLJUNGA</t>
        </is>
      </c>
      <c r="F6317" t="inlineStr">
        <is>
          <t>Sveaskog</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54295-2023</t>
        </is>
      </c>
      <c r="B6318" s="1" t="n">
        <v>45232</v>
      </c>
      <c r="C6318" s="1" t="n">
        <v>46011</v>
      </c>
      <c r="D6318" t="inlineStr">
        <is>
          <t>VÄSTRA GÖTALANDS LÄN</t>
        </is>
      </c>
      <c r="E6318" t="inlineStr">
        <is>
          <t>BOLLEBYGD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31941-2025</t>
        </is>
      </c>
      <c r="B6319" s="1" t="n">
        <v>45835.30780092593</v>
      </c>
      <c r="C6319" s="1" t="n">
        <v>46011</v>
      </c>
      <c r="D6319" t="inlineStr">
        <is>
          <t>VÄSTRA GÖTALANDS LÄN</t>
        </is>
      </c>
      <c r="E6319" t="inlineStr">
        <is>
          <t>TRANEMO</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44608-2025</t>
        </is>
      </c>
      <c r="B6320" s="1" t="n">
        <v>45917.44861111111</v>
      </c>
      <c r="C6320" s="1" t="n">
        <v>46011</v>
      </c>
      <c r="D6320" t="inlineStr">
        <is>
          <t>VÄSTRA GÖTALANDS LÄN</t>
        </is>
      </c>
      <c r="E6320" t="inlineStr">
        <is>
          <t>MELLERUD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51993-2022</t>
        </is>
      </c>
      <c r="B6321" s="1" t="n">
        <v>44872</v>
      </c>
      <c r="C6321" s="1" t="n">
        <v>46011</v>
      </c>
      <c r="D6321" t="inlineStr">
        <is>
          <t>VÄSTRA GÖTALANDS LÄN</t>
        </is>
      </c>
      <c r="E6321" t="inlineStr">
        <is>
          <t>ORUST</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32559-2025</t>
        </is>
      </c>
      <c r="B6322" s="1" t="n">
        <v>45838.57185185186</v>
      </c>
      <c r="C6322" s="1" t="n">
        <v>46011</v>
      </c>
      <c r="D6322" t="inlineStr">
        <is>
          <t>VÄSTRA GÖTALANDS LÄN</t>
        </is>
      </c>
      <c r="E6322" t="inlineStr">
        <is>
          <t>TIDAHOLM</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32354-2025</t>
        </is>
      </c>
      <c r="B6323" s="1" t="n">
        <v>45837.53755787037</v>
      </c>
      <c r="C6323" s="1" t="n">
        <v>46011</v>
      </c>
      <c r="D6323" t="inlineStr">
        <is>
          <t>VÄSTRA GÖTALANDS LÄN</t>
        </is>
      </c>
      <c r="E6323" t="inlineStr">
        <is>
          <t>LIDKÖPING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44537-2025</t>
        </is>
      </c>
      <c r="B6324" s="1" t="n">
        <v>45917.23777777778</v>
      </c>
      <c r="C6324" s="1" t="n">
        <v>46011</v>
      </c>
      <c r="D6324" t="inlineStr">
        <is>
          <t>VÄSTRA GÖTALANDS LÄN</t>
        </is>
      </c>
      <c r="E6324" t="inlineStr">
        <is>
          <t>TRANEMO</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7247-2025</t>
        </is>
      </c>
      <c r="B6325" s="1" t="n">
        <v>45702.55347222222</v>
      </c>
      <c r="C6325" s="1" t="n">
        <v>46011</v>
      </c>
      <c r="D6325" t="inlineStr">
        <is>
          <t>VÄSTRA GÖTALANDS LÄN</t>
        </is>
      </c>
      <c r="E6325" t="inlineStr">
        <is>
          <t>LIDKÖPING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44647-2025</t>
        </is>
      </c>
      <c r="B6326" s="1" t="n">
        <v>45917.53954861111</v>
      </c>
      <c r="C6326" s="1" t="n">
        <v>46011</v>
      </c>
      <c r="D6326" t="inlineStr">
        <is>
          <t>VÄSTRA GÖTALANDS LÄN</t>
        </is>
      </c>
      <c r="E6326" t="inlineStr">
        <is>
          <t>BENGTSFORS</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44656-2025</t>
        </is>
      </c>
      <c r="B6327" s="1" t="n">
        <v>45917.54709490741</v>
      </c>
      <c r="C6327" s="1" t="n">
        <v>46011</v>
      </c>
      <c r="D6327" t="inlineStr">
        <is>
          <t>VÄSTRA GÖTALANDS LÄN</t>
        </is>
      </c>
      <c r="E6327" t="inlineStr">
        <is>
          <t>BENGTSFORS</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7339-2025</t>
        </is>
      </c>
      <c r="B6328" s="1" t="n">
        <v>45703.51598379629</v>
      </c>
      <c r="C6328" s="1" t="n">
        <v>46011</v>
      </c>
      <c r="D6328" t="inlineStr">
        <is>
          <t>VÄSTRA GÖTALANDS LÄN</t>
        </is>
      </c>
      <c r="E6328" t="inlineStr">
        <is>
          <t>BOLLEBYGD</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32320-2025</t>
        </is>
      </c>
      <c r="B6329" s="1" t="n">
        <v>45836.4041087963</v>
      </c>
      <c r="C6329" s="1" t="n">
        <v>46011</v>
      </c>
      <c r="D6329" t="inlineStr">
        <is>
          <t>VÄSTRA GÖTALANDS LÄN</t>
        </is>
      </c>
      <c r="E6329" t="inlineStr">
        <is>
          <t>BOLLEBYGD</t>
        </is>
      </c>
      <c r="G6329" t="n">
        <v>11.7</v>
      </c>
      <c r="H6329" t="n">
        <v>0</v>
      </c>
      <c r="I6329" t="n">
        <v>0</v>
      </c>
      <c r="J6329" t="n">
        <v>0</v>
      </c>
      <c r="K6329" t="n">
        <v>0</v>
      </c>
      <c r="L6329" t="n">
        <v>0</v>
      </c>
      <c r="M6329" t="n">
        <v>0</v>
      </c>
      <c r="N6329" t="n">
        <v>0</v>
      </c>
      <c r="O6329" t="n">
        <v>0</v>
      </c>
      <c r="P6329" t="n">
        <v>0</v>
      </c>
      <c r="Q6329" t="n">
        <v>0</v>
      </c>
      <c r="R6329" s="2" t="inlineStr"/>
    </row>
    <row r="6330" ht="15" customHeight="1">
      <c r="A6330" t="inlineStr">
        <is>
          <t>A 32013-2025</t>
        </is>
      </c>
      <c r="B6330" s="1" t="n">
        <v>45835.40056712963</v>
      </c>
      <c r="C6330" s="1" t="n">
        <v>46011</v>
      </c>
      <c r="D6330" t="inlineStr">
        <is>
          <t>VÄSTRA GÖTALANDS LÄN</t>
        </is>
      </c>
      <c r="E6330" t="inlineStr">
        <is>
          <t>FÄRGELANDA</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44898-2025</t>
        </is>
      </c>
      <c r="B6331" s="1" t="n">
        <v>45918.50545138889</v>
      </c>
      <c r="C6331" s="1" t="n">
        <v>46011</v>
      </c>
      <c r="D6331" t="inlineStr">
        <is>
          <t>VÄSTRA GÖTALANDS LÄN</t>
        </is>
      </c>
      <c r="E6331" t="inlineStr">
        <is>
          <t>TIDAHOLM</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32074-2025</t>
        </is>
      </c>
      <c r="B6332" s="1" t="n">
        <v>45835.44943287037</v>
      </c>
      <c r="C6332" s="1" t="n">
        <v>46011</v>
      </c>
      <c r="D6332" t="inlineStr">
        <is>
          <t>VÄSTRA GÖTALANDS LÄN</t>
        </is>
      </c>
      <c r="E6332" t="inlineStr">
        <is>
          <t>ALINGSÅS</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32914-2022</t>
        </is>
      </c>
      <c r="B6333" s="1" t="n">
        <v>44784.61553240741</v>
      </c>
      <c r="C6333" s="1" t="n">
        <v>46011</v>
      </c>
      <c r="D6333" t="inlineStr">
        <is>
          <t>VÄSTRA GÖTALANDS LÄN</t>
        </is>
      </c>
      <c r="E6333" t="inlineStr">
        <is>
          <t>ESSUNGA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44786-2025</t>
        </is>
      </c>
      <c r="B6334" s="1" t="n">
        <v>45918.27836805556</v>
      </c>
      <c r="C6334" s="1" t="n">
        <v>46011</v>
      </c>
      <c r="D6334" t="inlineStr">
        <is>
          <t>VÄSTRA GÖTALANDS LÄN</t>
        </is>
      </c>
      <c r="E6334" t="inlineStr">
        <is>
          <t>TRANEMO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54518-2023</t>
        </is>
      </c>
      <c r="B6335" s="1" t="n">
        <v>45233</v>
      </c>
      <c r="C6335" s="1" t="n">
        <v>46011</v>
      </c>
      <c r="D6335" t="inlineStr">
        <is>
          <t>VÄSTRA GÖTALANDS LÄN</t>
        </is>
      </c>
      <c r="E6335" t="inlineStr">
        <is>
          <t>MUNKEDAL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52681-2023</t>
        </is>
      </c>
      <c r="B6336" s="1" t="n">
        <v>45225.7147800926</v>
      </c>
      <c r="C6336" s="1" t="n">
        <v>46011</v>
      </c>
      <c r="D6336" t="inlineStr">
        <is>
          <t>VÄSTRA GÖTALANDS LÄN</t>
        </is>
      </c>
      <c r="E6336" t="inlineStr">
        <is>
          <t>ULRICEHAMN</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45530-2025</t>
        </is>
      </c>
      <c r="B6337" s="1" t="n">
        <v>45922.60380787037</v>
      </c>
      <c r="C6337" s="1" t="n">
        <v>46011</v>
      </c>
      <c r="D6337" t="inlineStr">
        <is>
          <t>VÄSTRA GÖTALANDS LÄN</t>
        </is>
      </c>
      <c r="E6337" t="inlineStr">
        <is>
          <t>TRANEMO</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45537-2025</t>
        </is>
      </c>
      <c r="B6338" s="1" t="n">
        <v>45922.61059027778</v>
      </c>
      <c r="C6338" s="1" t="n">
        <v>46011</v>
      </c>
      <c r="D6338" t="inlineStr">
        <is>
          <t>VÄSTRA GÖTALANDS LÄN</t>
        </is>
      </c>
      <c r="E6338" t="inlineStr">
        <is>
          <t>VÄNERSBORG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32308-2025</t>
        </is>
      </c>
      <c r="B6339" s="1" t="n">
        <v>45835.73509259259</v>
      </c>
      <c r="C6339" s="1" t="n">
        <v>46011</v>
      </c>
      <c r="D6339" t="inlineStr">
        <is>
          <t>VÄSTRA GÖTALANDS LÄN</t>
        </is>
      </c>
      <c r="E6339" t="inlineStr">
        <is>
          <t>TÖREBODA</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32770-2025</t>
        </is>
      </c>
      <c r="B6340" s="1" t="n">
        <v>45839.45863425926</v>
      </c>
      <c r="C6340" s="1" t="n">
        <v>46011</v>
      </c>
      <c r="D6340" t="inlineStr">
        <is>
          <t>VÄSTRA GÖTALANDS LÄN</t>
        </is>
      </c>
      <c r="E6340" t="inlineStr">
        <is>
          <t>DALS-ED</t>
        </is>
      </c>
      <c r="F6340" t="inlineStr">
        <is>
          <t>Övriga Aktiebolag</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50812-2023</t>
        </is>
      </c>
      <c r="B6341" s="1" t="n">
        <v>45217.75505787037</v>
      </c>
      <c r="C6341" s="1" t="n">
        <v>46011</v>
      </c>
      <c r="D6341" t="inlineStr">
        <is>
          <t>VÄSTRA GÖTALANDS LÄN</t>
        </is>
      </c>
      <c r="E6341" t="inlineStr">
        <is>
          <t>VARA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24064-2022</t>
        </is>
      </c>
      <c r="B6342" s="1" t="n">
        <v>44725.32741898148</v>
      </c>
      <c r="C6342" s="1" t="n">
        <v>46011</v>
      </c>
      <c r="D6342" t="inlineStr">
        <is>
          <t>VÄSTRA GÖTALANDS LÄN</t>
        </is>
      </c>
      <c r="E6342" t="inlineStr">
        <is>
          <t>VÅRGÅRDA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45374-2025</t>
        </is>
      </c>
      <c r="B6343" s="1" t="n">
        <v>45922</v>
      </c>
      <c r="C6343" s="1" t="n">
        <v>46011</v>
      </c>
      <c r="D6343" t="inlineStr">
        <is>
          <t>VÄSTRA GÖTALANDS LÄN</t>
        </is>
      </c>
      <c r="E6343" t="inlineStr">
        <is>
          <t>TANUM</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45396-2025</t>
        </is>
      </c>
      <c r="B6344" s="1" t="n">
        <v>45922.41402777778</v>
      </c>
      <c r="C6344" s="1" t="n">
        <v>46011</v>
      </c>
      <c r="D6344" t="inlineStr">
        <is>
          <t>VÄSTRA GÖTALANDS LÄN</t>
        </is>
      </c>
      <c r="E6344" t="inlineStr">
        <is>
          <t>LERUM</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62375-2023</t>
        </is>
      </c>
      <c r="B6345" s="1" t="n">
        <v>45268</v>
      </c>
      <c r="C6345" s="1" t="n">
        <v>46011</v>
      </c>
      <c r="D6345" t="inlineStr">
        <is>
          <t>VÄSTRA GÖTALANDS LÄN</t>
        </is>
      </c>
      <c r="E6345" t="inlineStr">
        <is>
          <t>MARK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62377-2023</t>
        </is>
      </c>
      <c r="B6346" s="1" t="n">
        <v>45266</v>
      </c>
      <c r="C6346" s="1" t="n">
        <v>46011</v>
      </c>
      <c r="D6346" t="inlineStr">
        <is>
          <t>VÄSTRA GÖTALANDS LÄN</t>
        </is>
      </c>
      <c r="E6346" t="inlineStr">
        <is>
          <t>TROLLHÄTTAN</t>
        </is>
      </c>
      <c r="F6346" t="inlineStr">
        <is>
          <t>Kyrkan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62380-2023</t>
        </is>
      </c>
      <c r="B6347" s="1" t="n">
        <v>45266</v>
      </c>
      <c r="C6347" s="1" t="n">
        <v>46011</v>
      </c>
      <c r="D6347" t="inlineStr">
        <is>
          <t>VÄSTRA GÖTALANDS LÄN</t>
        </is>
      </c>
      <c r="E6347" t="inlineStr">
        <is>
          <t>TROLLHÄTTAN</t>
        </is>
      </c>
      <c r="F6347" t="inlineStr">
        <is>
          <t>Kyrkan</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52540-2023</t>
        </is>
      </c>
      <c r="B6348" s="1" t="n">
        <v>45225</v>
      </c>
      <c r="C6348" s="1" t="n">
        <v>46011</v>
      </c>
      <c r="D6348" t="inlineStr">
        <is>
          <t>VÄSTRA GÖTALANDS LÄN</t>
        </is>
      </c>
      <c r="E6348" t="inlineStr">
        <is>
          <t>BORÅS</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45483-2025</t>
        </is>
      </c>
      <c r="B6349" s="1" t="n">
        <v>45922.54346064815</v>
      </c>
      <c r="C6349" s="1" t="n">
        <v>46011</v>
      </c>
      <c r="D6349" t="inlineStr">
        <is>
          <t>VÄSTRA GÖTALANDS LÄN</t>
        </is>
      </c>
      <c r="E6349" t="inlineStr">
        <is>
          <t>LERUM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45484-2025</t>
        </is>
      </c>
      <c r="B6350" s="1" t="n">
        <v>45922.54543981481</v>
      </c>
      <c r="C6350" s="1" t="n">
        <v>46011</v>
      </c>
      <c r="D6350" t="inlineStr">
        <is>
          <t>VÄSTRA GÖTALANDS LÄN</t>
        </is>
      </c>
      <c r="E6350" t="inlineStr">
        <is>
          <t>MARIESTAD</t>
        </is>
      </c>
      <c r="F6350" t="inlineStr">
        <is>
          <t>Kyrkan</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45494-2025</t>
        </is>
      </c>
      <c r="B6351" s="1" t="n">
        <v>45922.56030092593</v>
      </c>
      <c r="C6351" s="1" t="n">
        <v>46011</v>
      </c>
      <c r="D6351" t="inlineStr">
        <is>
          <t>VÄSTRA GÖTALANDS LÄN</t>
        </is>
      </c>
      <c r="E6351" t="inlineStr">
        <is>
          <t>DALS-ED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45505-2025</t>
        </is>
      </c>
      <c r="B6352" s="1" t="n">
        <v>45922</v>
      </c>
      <c r="C6352" s="1" t="n">
        <v>46011</v>
      </c>
      <c r="D6352" t="inlineStr">
        <is>
          <t>VÄSTRA GÖTALANDS LÄN</t>
        </is>
      </c>
      <c r="E6352" t="inlineStr">
        <is>
          <t>BORÅS</t>
        </is>
      </c>
      <c r="F6352" t="inlineStr">
        <is>
          <t>Kommuner</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33202-2025</t>
        </is>
      </c>
      <c r="B6353" s="1" t="n">
        <v>45840</v>
      </c>
      <c r="C6353" s="1" t="n">
        <v>46011</v>
      </c>
      <c r="D6353" t="inlineStr">
        <is>
          <t>VÄSTRA GÖTALANDS LÄN</t>
        </is>
      </c>
      <c r="E6353" t="inlineStr">
        <is>
          <t>MARIESTAD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55033-2023</t>
        </is>
      </c>
      <c r="B6354" s="1" t="n">
        <v>45237.35086805555</v>
      </c>
      <c r="C6354" s="1" t="n">
        <v>46011</v>
      </c>
      <c r="D6354" t="inlineStr">
        <is>
          <t>VÄSTRA GÖTALANDS LÄN</t>
        </is>
      </c>
      <c r="E6354" t="inlineStr">
        <is>
          <t>TROLLHÄTTAN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32842-2025</t>
        </is>
      </c>
      <c r="B6355" s="1" t="n">
        <v>45839.56862268518</v>
      </c>
      <c r="C6355" s="1" t="n">
        <v>46011</v>
      </c>
      <c r="D6355" t="inlineStr">
        <is>
          <t>VÄSTRA GÖTALANDS LÄN</t>
        </is>
      </c>
      <c r="E6355" t="inlineStr">
        <is>
          <t>MELLERUD</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32844-2025</t>
        </is>
      </c>
      <c r="B6356" s="1" t="n">
        <v>45839.57116898148</v>
      </c>
      <c r="C6356" s="1" t="n">
        <v>46011</v>
      </c>
      <c r="D6356" t="inlineStr">
        <is>
          <t>VÄSTRA GÖTALANDS LÄN</t>
        </is>
      </c>
      <c r="E6356" t="inlineStr">
        <is>
          <t>SKARA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32850-2025</t>
        </is>
      </c>
      <c r="B6357" s="1" t="n">
        <v>45839.57383101852</v>
      </c>
      <c r="C6357" s="1" t="n">
        <v>46011</v>
      </c>
      <c r="D6357" t="inlineStr">
        <is>
          <t>VÄSTRA GÖTALANDS LÄN</t>
        </is>
      </c>
      <c r="E6357" t="inlineStr">
        <is>
          <t>SKARA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45486-2025</t>
        </is>
      </c>
      <c r="B6358" s="1" t="n">
        <v>45921</v>
      </c>
      <c r="C6358" s="1" t="n">
        <v>46011</v>
      </c>
      <c r="D6358" t="inlineStr">
        <is>
          <t>VÄSTRA GÖTALANDS LÄN</t>
        </is>
      </c>
      <c r="E6358" t="inlineStr">
        <is>
          <t>MUNKEDAL</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45491-2025</t>
        </is>
      </c>
      <c r="B6359" s="1" t="n">
        <v>45922</v>
      </c>
      <c r="C6359" s="1" t="n">
        <v>46011</v>
      </c>
      <c r="D6359" t="inlineStr">
        <is>
          <t>VÄSTRA GÖTALANDS LÄN</t>
        </is>
      </c>
      <c r="E6359" t="inlineStr">
        <is>
          <t>BORÅS</t>
        </is>
      </c>
      <c r="F6359" t="inlineStr">
        <is>
          <t>Kommuner</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45124-2025</t>
        </is>
      </c>
      <c r="B6360" s="1" t="n">
        <v>45919.43206018519</v>
      </c>
      <c r="C6360" s="1" t="n">
        <v>46011</v>
      </c>
      <c r="D6360" t="inlineStr">
        <is>
          <t>VÄSTRA GÖTALANDS LÄN</t>
        </is>
      </c>
      <c r="E6360" t="inlineStr">
        <is>
          <t>KUNGÄLV</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32900-2025</t>
        </is>
      </c>
      <c r="B6361" s="1" t="n">
        <v>45839</v>
      </c>
      <c r="C6361" s="1" t="n">
        <v>46011</v>
      </c>
      <c r="D6361" t="inlineStr">
        <is>
          <t>VÄSTRA GÖTALANDS LÄN</t>
        </is>
      </c>
      <c r="E6361" t="inlineStr">
        <is>
          <t>BORÅS</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32908-2025</t>
        </is>
      </c>
      <c r="B6362" s="1" t="n">
        <v>45839</v>
      </c>
      <c r="C6362" s="1" t="n">
        <v>46011</v>
      </c>
      <c r="D6362" t="inlineStr">
        <is>
          <t>VÄSTRA GÖTALANDS LÄN</t>
        </is>
      </c>
      <c r="E6362" t="inlineStr">
        <is>
          <t>SVENLJUNGA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45157-2025</t>
        </is>
      </c>
      <c r="B6363" s="1" t="n">
        <v>45919.48144675926</v>
      </c>
      <c r="C6363" s="1" t="n">
        <v>46011</v>
      </c>
      <c r="D6363" t="inlineStr">
        <is>
          <t>VÄSTRA GÖTALANDS LÄN</t>
        </is>
      </c>
      <c r="E6363" t="inlineStr">
        <is>
          <t>UDDEVALLA</t>
        </is>
      </c>
      <c r="G6363" t="n">
        <v>19.4</v>
      </c>
      <c r="H6363" t="n">
        <v>0</v>
      </c>
      <c r="I6363" t="n">
        <v>0</v>
      </c>
      <c r="J6363" t="n">
        <v>0</v>
      </c>
      <c r="K6363" t="n">
        <v>0</v>
      </c>
      <c r="L6363" t="n">
        <v>0</v>
      </c>
      <c r="M6363" t="n">
        <v>0</v>
      </c>
      <c r="N6363" t="n">
        <v>0</v>
      </c>
      <c r="O6363" t="n">
        <v>0</v>
      </c>
      <c r="P6363" t="n">
        <v>0</v>
      </c>
      <c r="Q6363" t="n">
        <v>0</v>
      </c>
      <c r="R6363" s="2" t="inlineStr"/>
    </row>
    <row r="6364" ht="15" customHeight="1">
      <c r="A6364" t="inlineStr">
        <is>
          <t>A 45165-2025</t>
        </is>
      </c>
      <c r="B6364" s="1" t="n">
        <v>45919.49084490741</v>
      </c>
      <c r="C6364" s="1" t="n">
        <v>46011</v>
      </c>
      <c r="D6364" t="inlineStr">
        <is>
          <t>VÄSTRA GÖTALANDS LÄN</t>
        </is>
      </c>
      <c r="E6364" t="inlineStr">
        <is>
          <t>TIDAHOLM</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45228-2025</t>
        </is>
      </c>
      <c r="B6365" s="1" t="n">
        <v>45919.58493055555</v>
      </c>
      <c r="C6365" s="1" t="n">
        <v>46011</v>
      </c>
      <c r="D6365" t="inlineStr">
        <is>
          <t>VÄSTRA GÖTALANDS LÄN</t>
        </is>
      </c>
      <c r="E6365" t="inlineStr">
        <is>
          <t>TROLLHÄTTAN</t>
        </is>
      </c>
      <c r="G6365" t="n">
        <v>10.7</v>
      </c>
      <c r="H6365" t="n">
        <v>0</v>
      </c>
      <c r="I6365" t="n">
        <v>0</v>
      </c>
      <c r="J6365" t="n">
        <v>0</v>
      </c>
      <c r="K6365" t="n">
        <v>0</v>
      </c>
      <c r="L6365" t="n">
        <v>0</v>
      </c>
      <c r="M6365" t="n">
        <v>0</v>
      </c>
      <c r="N6365" t="n">
        <v>0</v>
      </c>
      <c r="O6365" t="n">
        <v>0</v>
      </c>
      <c r="P6365" t="n">
        <v>0</v>
      </c>
      <c r="Q6365" t="n">
        <v>0</v>
      </c>
      <c r="R6365" s="2" t="inlineStr"/>
    </row>
    <row r="6366" ht="15" customHeight="1">
      <c r="A6366" t="inlineStr">
        <is>
          <t>A 45251-2025</t>
        </is>
      </c>
      <c r="B6366" s="1" t="n">
        <v>45919.61405092593</v>
      </c>
      <c r="C6366" s="1" t="n">
        <v>46011</v>
      </c>
      <c r="D6366" t="inlineStr">
        <is>
          <t>VÄSTRA GÖTALANDS LÄN</t>
        </is>
      </c>
      <c r="E6366" t="inlineStr">
        <is>
          <t>TÖREBODA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57728-2024</t>
        </is>
      </c>
      <c r="B6367" s="1" t="n">
        <v>45630.71177083333</v>
      </c>
      <c r="C6367" s="1" t="n">
        <v>46011</v>
      </c>
      <c r="D6367" t="inlineStr">
        <is>
          <t>VÄSTRA GÖTALANDS LÄN</t>
        </is>
      </c>
      <c r="E6367" t="inlineStr">
        <is>
          <t>FALKÖPING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32785-2025</t>
        </is>
      </c>
      <c r="B6368" s="1" t="n">
        <v>45839.48150462963</v>
      </c>
      <c r="C6368" s="1" t="n">
        <v>46011</v>
      </c>
      <c r="D6368" t="inlineStr">
        <is>
          <t>VÄSTRA GÖTALANDS LÄN</t>
        </is>
      </c>
      <c r="E6368" t="inlineStr">
        <is>
          <t>FÄRGELANDA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33061-2025</t>
        </is>
      </c>
      <c r="B6369" s="1" t="n">
        <v>45840.43393518519</v>
      </c>
      <c r="C6369" s="1" t="n">
        <v>46011</v>
      </c>
      <c r="D6369" t="inlineStr">
        <is>
          <t>VÄSTRA GÖTALANDS LÄN</t>
        </is>
      </c>
      <c r="E6369" t="inlineStr">
        <is>
          <t>SVENLJUNGA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45167-2025</t>
        </is>
      </c>
      <c r="B6370" s="1" t="n">
        <v>45919.49364583333</v>
      </c>
      <c r="C6370" s="1" t="n">
        <v>46011</v>
      </c>
      <c r="D6370" t="inlineStr">
        <is>
          <t>VÄSTRA GÖTALANDS LÄN</t>
        </is>
      </c>
      <c r="E6370" t="inlineStr">
        <is>
          <t>TJÖRN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1262-2023</t>
        </is>
      </c>
      <c r="B6371" s="1" t="n">
        <v>44936.39234953704</v>
      </c>
      <c r="C6371" s="1" t="n">
        <v>46011</v>
      </c>
      <c r="D6371" t="inlineStr">
        <is>
          <t>VÄSTRA GÖTALANDS LÄN</t>
        </is>
      </c>
      <c r="E6371" t="inlineStr">
        <is>
          <t>VÅRGÅRDA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48161-2024</t>
        </is>
      </c>
      <c r="B6372" s="1" t="n">
        <v>45589</v>
      </c>
      <c r="C6372" s="1" t="n">
        <v>46011</v>
      </c>
      <c r="D6372" t="inlineStr">
        <is>
          <t>VÄSTRA GÖTALANDS LÄN</t>
        </is>
      </c>
      <c r="E6372" t="inlineStr">
        <is>
          <t>VÄNERSBORG</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52876-2023</t>
        </is>
      </c>
      <c r="B6373" s="1" t="n">
        <v>45226.47097222223</v>
      </c>
      <c r="C6373" s="1" t="n">
        <v>46011</v>
      </c>
      <c r="D6373" t="inlineStr">
        <is>
          <t>VÄSTRA GÖTALANDS LÄN</t>
        </is>
      </c>
      <c r="E6373" t="inlineStr">
        <is>
          <t>TIDAHOLM</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52889-2023</t>
        </is>
      </c>
      <c r="B6374" s="1" t="n">
        <v>45226</v>
      </c>
      <c r="C6374" s="1" t="n">
        <v>46011</v>
      </c>
      <c r="D6374" t="inlineStr">
        <is>
          <t>VÄSTRA GÖTALANDS LÄN</t>
        </is>
      </c>
      <c r="E6374" t="inlineStr">
        <is>
          <t>UDDEVALLA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48174-2024</t>
        </is>
      </c>
      <c r="B6375" s="1" t="n">
        <v>45589.84282407408</v>
      </c>
      <c r="C6375" s="1" t="n">
        <v>46011</v>
      </c>
      <c r="D6375" t="inlineStr">
        <is>
          <t>VÄSTRA GÖTALANDS LÄN</t>
        </is>
      </c>
      <c r="E6375" t="inlineStr">
        <is>
          <t>KARLSBORG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33070-2025</t>
        </is>
      </c>
      <c r="B6376" s="1" t="n">
        <v>45840.45005787037</v>
      </c>
      <c r="C6376" s="1" t="n">
        <v>46011</v>
      </c>
      <c r="D6376" t="inlineStr">
        <is>
          <t>VÄSTRA GÖTALANDS LÄN</t>
        </is>
      </c>
      <c r="E6376" t="inlineStr">
        <is>
          <t>MUNKEDAL</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41860-2023</t>
        </is>
      </c>
      <c r="B6377" s="1" t="n">
        <v>45176.63672453703</v>
      </c>
      <c r="C6377" s="1" t="n">
        <v>46011</v>
      </c>
      <c r="D6377" t="inlineStr">
        <is>
          <t>VÄSTRA GÖTALANDS LÄN</t>
        </is>
      </c>
      <c r="E6377" t="inlineStr">
        <is>
          <t>BENGTSFORS</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6354-2025</t>
        </is>
      </c>
      <c r="B6378" s="1" t="n">
        <v>45699.3550462963</v>
      </c>
      <c r="C6378" s="1" t="n">
        <v>46011</v>
      </c>
      <c r="D6378" t="inlineStr">
        <is>
          <t>VÄSTRA GÖTALANDS LÄN</t>
        </is>
      </c>
      <c r="E6378" t="inlineStr">
        <is>
          <t>TROLLHÄTTAN</t>
        </is>
      </c>
      <c r="G6378" t="n">
        <v>19.3</v>
      </c>
      <c r="H6378" t="n">
        <v>0</v>
      </c>
      <c r="I6378" t="n">
        <v>0</v>
      </c>
      <c r="J6378" t="n">
        <v>0</v>
      </c>
      <c r="K6378" t="n">
        <v>0</v>
      </c>
      <c r="L6378" t="n">
        <v>0</v>
      </c>
      <c r="M6378" t="n">
        <v>0</v>
      </c>
      <c r="N6378" t="n">
        <v>0</v>
      </c>
      <c r="O6378" t="n">
        <v>0</v>
      </c>
      <c r="P6378" t="n">
        <v>0</v>
      </c>
      <c r="Q6378" t="n">
        <v>0</v>
      </c>
      <c r="R6378" s="2" t="inlineStr"/>
    </row>
    <row r="6379" ht="15" customHeight="1">
      <c r="A6379" t="inlineStr">
        <is>
          <t>A 45262-2025</t>
        </is>
      </c>
      <c r="B6379" s="1" t="n">
        <v>45919</v>
      </c>
      <c r="C6379" s="1" t="n">
        <v>46011</v>
      </c>
      <c r="D6379" t="inlineStr">
        <is>
          <t>VÄSTRA GÖTALANDS LÄN</t>
        </is>
      </c>
      <c r="E6379" t="inlineStr">
        <is>
          <t>TÖREBODA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45247-2025</t>
        </is>
      </c>
      <c r="B6380" s="1" t="n">
        <v>45919.60940972222</v>
      </c>
      <c r="C6380" s="1" t="n">
        <v>46011</v>
      </c>
      <c r="D6380" t="inlineStr">
        <is>
          <t>VÄSTRA GÖTALANDS LÄN</t>
        </is>
      </c>
      <c r="E6380" t="inlineStr">
        <is>
          <t>KARLSBORG</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45248-2025</t>
        </is>
      </c>
      <c r="B6381" s="1" t="n">
        <v>45919.61190972223</v>
      </c>
      <c r="C6381" s="1" t="n">
        <v>46011</v>
      </c>
      <c r="D6381" t="inlineStr">
        <is>
          <t>VÄSTRA GÖTALANDS LÄN</t>
        </is>
      </c>
      <c r="E6381" t="inlineStr">
        <is>
          <t>TIBRO</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6369-2025</t>
        </is>
      </c>
      <c r="B6382" s="1" t="n">
        <v>45699.38993055555</v>
      </c>
      <c r="C6382" s="1" t="n">
        <v>46011</v>
      </c>
      <c r="D6382" t="inlineStr">
        <is>
          <t>VÄSTRA GÖTALANDS LÄN</t>
        </is>
      </c>
      <c r="E6382" t="inlineStr">
        <is>
          <t>HJO</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45336-2025</t>
        </is>
      </c>
      <c r="B6383" s="1" t="n">
        <v>45922.34298611111</v>
      </c>
      <c r="C6383" s="1" t="n">
        <v>46011</v>
      </c>
      <c r="D6383" t="inlineStr">
        <is>
          <t>VÄSTRA GÖTALANDS LÄN</t>
        </is>
      </c>
      <c r="E6383" t="inlineStr">
        <is>
          <t>TANUM</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45256-2025</t>
        </is>
      </c>
      <c r="B6384" s="1" t="n">
        <v>45919.62141203704</v>
      </c>
      <c r="C6384" s="1" t="n">
        <v>46011</v>
      </c>
      <c r="D6384" t="inlineStr">
        <is>
          <t>VÄSTRA GÖTALANDS LÄN</t>
        </is>
      </c>
      <c r="E6384" t="inlineStr">
        <is>
          <t>KARLSBORG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45264-2025</t>
        </is>
      </c>
      <c r="B6385" s="1" t="n">
        <v>45919.64902777778</v>
      </c>
      <c r="C6385" s="1" t="n">
        <v>46011</v>
      </c>
      <c r="D6385" t="inlineStr">
        <is>
          <t>VÄSTRA GÖTALANDS LÄN</t>
        </is>
      </c>
      <c r="E6385" t="inlineStr">
        <is>
          <t>TIDAHOLM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32621-2025</t>
        </is>
      </c>
      <c r="B6386" s="1" t="n">
        <v>45838.64636574074</v>
      </c>
      <c r="C6386" s="1" t="n">
        <v>46011</v>
      </c>
      <c r="D6386" t="inlineStr">
        <is>
          <t>VÄSTRA GÖTALANDS LÄN</t>
        </is>
      </c>
      <c r="E6386" t="inlineStr">
        <is>
          <t>ULRICEHAMN</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45349-2025</t>
        </is>
      </c>
      <c r="B6387" s="1" t="n">
        <v>45922.35612268518</v>
      </c>
      <c r="C6387" s="1" t="n">
        <v>46011</v>
      </c>
      <c r="D6387" t="inlineStr">
        <is>
          <t>VÄSTRA GÖTALANDS LÄN</t>
        </is>
      </c>
      <c r="E6387" t="inlineStr">
        <is>
          <t>TÖREBODA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22304-2023</t>
        </is>
      </c>
      <c r="B6388" s="1" t="n">
        <v>45070.46034722222</v>
      </c>
      <c r="C6388" s="1" t="n">
        <v>46011</v>
      </c>
      <c r="D6388" t="inlineStr">
        <is>
          <t>VÄSTRA GÖTALANDS LÄN</t>
        </is>
      </c>
      <c r="E6388" t="inlineStr">
        <is>
          <t>ULRICEHAMN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32469-2025</t>
        </is>
      </c>
      <c r="B6389" s="1" t="n">
        <v>45838.42524305556</v>
      </c>
      <c r="C6389" s="1" t="n">
        <v>46011</v>
      </c>
      <c r="D6389" t="inlineStr">
        <is>
          <t>VÄSTRA GÖTALANDS LÄN</t>
        </is>
      </c>
      <c r="E6389" t="inlineStr">
        <is>
          <t>MARK</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22362-2023</t>
        </is>
      </c>
      <c r="B6390" s="1" t="n">
        <v>45070.59466435185</v>
      </c>
      <c r="C6390" s="1" t="n">
        <v>46011</v>
      </c>
      <c r="D6390" t="inlineStr">
        <is>
          <t>VÄSTRA GÖTALANDS LÄN</t>
        </is>
      </c>
      <c r="E6390" t="inlineStr">
        <is>
          <t>TRANEMO</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12002-2024</t>
        </is>
      </c>
      <c r="B6391" s="1" t="n">
        <v>45377.31006944444</v>
      </c>
      <c r="C6391" s="1" t="n">
        <v>46011</v>
      </c>
      <c r="D6391" t="inlineStr">
        <is>
          <t>VÄSTRA GÖTALANDS LÄN</t>
        </is>
      </c>
      <c r="E6391" t="inlineStr">
        <is>
          <t>TRANEMO</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12021-2024</t>
        </is>
      </c>
      <c r="B6392" s="1" t="n">
        <v>45377.3702662037</v>
      </c>
      <c r="C6392" s="1" t="n">
        <v>46011</v>
      </c>
      <c r="D6392" t="inlineStr">
        <is>
          <t>VÄSTRA GÖTALANDS LÄN</t>
        </is>
      </c>
      <c r="E6392" t="inlineStr">
        <is>
          <t>VARA</t>
        </is>
      </c>
      <c r="G6392" t="n">
        <v>8</v>
      </c>
      <c r="H6392" t="n">
        <v>0</v>
      </c>
      <c r="I6392" t="n">
        <v>0</v>
      </c>
      <c r="J6392" t="n">
        <v>0</v>
      </c>
      <c r="K6392" t="n">
        <v>0</v>
      </c>
      <c r="L6392" t="n">
        <v>0</v>
      </c>
      <c r="M6392" t="n">
        <v>0</v>
      </c>
      <c r="N6392" t="n">
        <v>0</v>
      </c>
      <c r="O6392" t="n">
        <v>0</v>
      </c>
      <c r="P6392" t="n">
        <v>0</v>
      </c>
      <c r="Q6392" t="n">
        <v>0</v>
      </c>
      <c r="R6392" s="2" t="inlineStr"/>
    </row>
    <row r="6393" ht="15" customHeight="1">
      <c r="A6393" t="inlineStr">
        <is>
          <t>A 49912-2021</t>
        </is>
      </c>
      <c r="B6393" s="1" t="n">
        <v>44455.8500462963</v>
      </c>
      <c r="C6393" s="1" t="n">
        <v>46011</v>
      </c>
      <c r="D6393" t="inlineStr">
        <is>
          <t>VÄSTRA GÖTALANDS LÄN</t>
        </is>
      </c>
      <c r="E6393" t="inlineStr">
        <is>
          <t>ULRICEHAMN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32731-2025</t>
        </is>
      </c>
      <c r="B6394" s="1" t="n">
        <v>45839.40396990741</v>
      </c>
      <c r="C6394" s="1" t="n">
        <v>46011</v>
      </c>
      <c r="D6394" t="inlineStr">
        <is>
          <t>VÄSTRA GÖTALANDS LÄN</t>
        </is>
      </c>
      <c r="E6394" t="inlineStr">
        <is>
          <t>TANUM</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10516-2023</t>
        </is>
      </c>
      <c r="B6395" s="1" t="n">
        <v>44987</v>
      </c>
      <c r="C6395" s="1" t="n">
        <v>46011</v>
      </c>
      <c r="D6395" t="inlineStr">
        <is>
          <t>VÄSTRA GÖTALANDS LÄN</t>
        </is>
      </c>
      <c r="E6395" t="inlineStr">
        <is>
          <t>SVENLJUNGA</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33169-2025</t>
        </is>
      </c>
      <c r="B6396" s="1" t="n">
        <v>45840.58173611111</v>
      </c>
      <c r="C6396" s="1" t="n">
        <v>46011</v>
      </c>
      <c r="D6396" t="inlineStr">
        <is>
          <t>VÄSTRA GÖTALANDS LÄN</t>
        </is>
      </c>
      <c r="E6396" t="inlineStr">
        <is>
          <t>DALS-ED</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33172-2025</t>
        </is>
      </c>
      <c r="B6397" s="1" t="n">
        <v>45840.58383101852</v>
      </c>
      <c r="C6397" s="1" t="n">
        <v>46011</v>
      </c>
      <c r="D6397" t="inlineStr">
        <is>
          <t>VÄSTRA GÖTALANDS LÄN</t>
        </is>
      </c>
      <c r="E6397" t="inlineStr">
        <is>
          <t>DALS-ED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45525-2025</t>
        </is>
      </c>
      <c r="B6398" s="1" t="n">
        <v>45922.59641203703</v>
      </c>
      <c r="C6398" s="1" t="n">
        <v>46011</v>
      </c>
      <c r="D6398" t="inlineStr">
        <is>
          <t>VÄSTRA GÖTALANDS LÄN</t>
        </is>
      </c>
      <c r="E6398" t="inlineStr">
        <is>
          <t>TRANEMO</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32800-2025</t>
        </is>
      </c>
      <c r="B6399" s="1" t="n">
        <v>45839.49458333333</v>
      </c>
      <c r="C6399" s="1" t="n">
        <v>46011</v>
      </c>
      <c r="D6399" t="inlineStr">
        <is>
          <t>VÄSTRA GÖTALANDS LÄN</t>
        </is>
      </c>
      <c r="E6399" t="inlineStr">
        <is>
          <t>FÄRGELANDA</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32832-2025</t>
        </is>
      </c>
      <c r="B6400" s="1" t="n">
        <v>45839.55377314815</v>
      </c>
      <c r="C6400" s="1" t="n">
        <v>46011</v>
      </c>
      <c r="D6400" t="inlineStr">
        <is>
          <t>VÄSTRA GÖTALANDS LÄN</t>
        </is>
      </c>
      <c r="E6400" t="inlineStr">
        <is>
          <t>MELLERUD</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29217-2022</t>
        </is>
      </c>
      <c r="B6401" s="1" t="n">
        <v>44750.58076388889</v>
      </c>
      <c r="C6401" s="1" t="n">
        <v>46011</v>
      </c>
      <c r="D6401" t="inlineStr">
        <is>
          <t>VÄSTRA GÖTALANDS LÄN</t>
        </is>
      </c>
      <c r="E6401" t="inlineStr">
        <is>
          <t>SKÖVDE</t>
        </is>
      </c>
      <c r="F6401" t="inlineStr">
        <is>
          <t>Kommuner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32803-2025</t>
        </is>
      </c>
      <c r="B6402" s="1" t="n">
        <v>45839.49835648148</v>
      </c>
      <c r="C6402" s="1" t="n">
        <v>46011</v>
      </c>
      <c r="D6402" t="inlineStr">
        <is>
          <t>VÄSTRA GÖTALANDS LÄN</t>
        </is>
      </c>
      <c r="E6402" t="inlineStr">
        <is>
          <t>FÄRGELANDA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45132-2025</t>
        </is>
      </c>
      <c r="B6403" s="1" t="n">
        <v>45919.44319444444</v>
      </c>
      <c r="C6403" s="1" t="n">
        <v>46011</v>
      </c>
      <c r="D6403" t="inlineStr">
        <is>
          <t>VÄSTRA GÖTALANDS LÄN</t>
        </is>
      </c>
      <c r="E6403" t="inlineStr">
        <is>
          <t>LERUM</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45185-2025</t>
        </is>
      </c>
      <c r="B6404" s="1" t="n">
        <v>45919.54019675926</v>
      </c>
      <c r="C6404" s="1" t="n">
        <v>46011</v>
      </c>
      <c r="D6404" t="inlineStr">
        <is>
          <t>VÄSTRA GÖTALANDS LÄN</t>
        </is>
      </c>
      <c r="E6404" t="inlineStr">
        <is>
          <t>BOLLEBYGD</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33074-2025</t>
        </is>
      </c>
      <c r="B6405" s="1" t="n">
        <v>45840.45519675926</v>
      </c>
      <c r="C6405" s="1" t="n">
        <v>46011</v>
      </c>
      <c r="D6405" t="inlineStr">
        <is>
          <t>VÄSTRA GÖTALANDS LÄN</t>
        </is>
      </c>
      <c r="E6405" t="inlineStr">
        <is>
          <t>MUNKEDAL</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33076-2025</t>
        </is>
      </c>
      <c r="B6406" s="1" t="n">
        <v>45840.45832175926</v>
      </c>
      <c r="C6406" s="1" t="n">
        <v>46011</v>
      </c>
      <c r="D6406" t="inlineStr">
        <is>
          <t>VÄSTRA GÖTALANDS LÄN</t>
        </is>
      </c>
      <c r="E6406" t="inlineStr">
        <is>
          <t>MUNKEDAL</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45293-2025</t>
        </is>
      </c>
      <c r="B6407" s="1" t="n">
        <v>45920.43634259259</v>
      </c>
      <c r="C6407" s="1" t="n">
        <v>46011</v>
      </c>
      <c r="D6407" t="inlineStr">
        <is>
          <t>VÄSTRA GÖTALANDS LÄN</t>
        </is>
      </c>
      <c r="E6407" t="inlineStr">
        <is>
          <t>VÅRGÅRDA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11054-2025</t>
        </is>
      </c>
      <c r="B6408" s="1" t="n">
        <v>45723.50204861111</v>
      </c>
      <c r="C6408" s="1" t="n">
        <v>46011</v>
      </c>
      <c r="D6408" t="inlineStr">
        <is>
          <t>VÄSTRA GÖTALANDS LÄN</t>
        </is>
      </c>
      <c r="E6408" t="inlineStr">
        <is>
          <t>BORÅS</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9006-2022</t>
        </is>
      </c>
      <c r="B6409" s="1" t="n">
        <v>44615.3561574074</v>
      </c>
      <c r="C6409" s="1" t="n">
        <v>46011</v>
      </c>
      <c r="D6409" t="inlineStr">
        <is>
          <t>VÄSTRA GÖTALANDS LÄN</t>
        </is>
      </c>
      <c r="E6409" t="inlineStr">
        <is>
          <t>SKARA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32837-2025</t>
        </is>
      </c>
      <c r="B6410" s="1" t="n">
        <v>45839.55925925926</v>
      </c>
      <c r="C6410" s="1" t="n">
        <v>46011</v>
      </c>
      <c r="D6410" t="inlineStr">
        <is>
          <t>VÄSTRA GÖTALANDS LÄN</t>
        </is>
      </c>
      <c r="E6410" t="inlineStr">
        <is>
          <t>SKÖVDE</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32610-2025</t>
        </is>
      </c>
      <c r="B6411" s="1" t="n">
        <v>45838.63467592592</v>
      </c>
      <c r="C6411" s="1" t="n">
        <v>46011</v>
      </c>
      <c r="D6411" t="inlineStr">
        <is>
          <t>VÄSTRA GÖTALANDS LÄN</t>
        </is>
      </c>
      <c r="E6411" t="inlineStr">
        <is>
          <t>ULRICEHAMN</t>
        </is>
      </c>
      <c r="F6411" t="inlineStr">
        <is>
          <t>Sveaskog</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45408-2025</t>
        </is>
      </c>
      <c r="B6412" s="1" t="n">
        <v>45922.43204861111</v>
      </c>
      <c r="C6412" s="1" t="n">
        <v>46011</v>
      </c>
      <c r="D6412" t="inlineStr">
        <is>
          <t>VÄSTRA GÖTALANDS LÄN</t>
        </is>
      </c>
      <c r="E6412" t="inlineStr">
        <is>
          <t>GRÄSTORP</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50958-2023</t>
        </is>
      </c>
      <c r="B6413" s="1" t="n">
        <v>45210</v>
      </c>
      <c r="C6413" s="1" t="n">
        <v>46011</v>
      </c>
      <c r="D6413" t="inlineStr">
        <is>
          <t>VÄSTRA GÖTALANDS LÄN</t>
        </is>
      </c>
      <c r="E6413" t="inlineStr">
        <is>
          <t>VÅRGÅRDA</t>
        </is>
      </c>
      <c r="F6413" t="inlineStr">
        <is>
          <t>Allmännings- och besparingsskogar</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15108-2024</t>
        </is>
      </c>
      <c r="B6414" s="1" t="n">
        <v>45399.66778935185</v>
      </c>
      <c r="C6414" s="1" t="n">
        <v>46011</v>
      </c>
      <c r="D6414" t="inlineStr">
        <is>
          <t>VÄSTRA GÖTALANDS LÄN</t>
        </is>
      </c>
      <c r="E6414" t="inlineStr">
        <is>
          <t>VÄNERSBORG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13450-2022</t>
        </is>
      </c>
      <c r="B6415" s="1" t="n">
        <v>44645.63090277778</v>
      </c>
      <c r="C6415" s="1" t="n">
        <v>46011</v>
      </c>
      <c r="D6415" t="inlineStr">
        <is>
          <t>VÄSTRA GÖTALANDS LÄN</t>
        </is>
      </c>
      <c r="E6415" t="inlineStr">
        <is>
          <t>FALKÖPING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45539-2025</t>
        </is>
      </c>
      <c r="B6416" s="1" t="n">
        <v>45922.61231481482</v>
      </c>
      <c r="C6416" s="1" t="n">
        <v>46011</v>
      </c>
      <c r="D6416" t="inlineStr">
        <is>
          <t>VÄSTRA GÖTALANDS LÄN</t>
        </is>
      </c>
      <c r="E6416" t="inlineStr">
        <is>
          <t>TRANEMO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45540-2025</t>
        </is>
      </c>
      <c r="B6417" s="1" t="n">
        <v>45922.61466435185</v>
      </c>
      <c r="C6417" s="1" t="n">
        <v>46011</v>
      </c>
      <c r="D6417" t="inlineStr">
        <is>
          <t>VÄSTRA GÖTALANDS LÄN</t>
        </is>
      </c>
      <c r="E6417" t="inlineStr">
        <is>
          <t>STRÖMSTAD</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45510-2025</t>
        </is>
      </c>
      <c r="B6418" s="1" t="n">
        <v>45922</v>
      </c>
      <c r="C6418" s="1" t="n">
        <v>46011</v>
      </c>
      <c r="D6418" t="inlineStr">
        <is>
          <t>VÄSTRA GÖTALANDS LÄN</t>
        </is>
      </c>
      <c r="E6418" t="inlineStr">
        <is>
          <t>BORÅS</t>
        </is>
      </c>
      <c r="F6418" t="inlineStr">
        <is>
          <t>Kommuner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32728-2025</t>
        </is>
      </c>
      <c r="B6419" s="1" t="n">
        <v>45839</v>
      </c>
      <c r="C6419" s="1" t="n">
        <v>46011</v>
      </c>
      <c r="D6419" t="inlineStr">
        <is>
          <t>VÄSTRA GÖTALANDS LÄN</t>
        </is>
      </c>
      <c r="E6419" t="inlineStr">
        <is>
          <t>TANUM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32909-2025</t>
        </is>
      </c>
      <c r="B6420" s="1" t="n">
        <v>45839.63256944445</v>
      </c>
      <c r="C6420" s="1" t="n">
        <v>46011</v>
      </c>
      <c r="D6420" t="inlineStr">
        <is>
          <t>VÄSTRA GÖTALANDS LÄN</t>
        </is>
      </c>
      <c r="E6420" t="inlineStr">
        <is>
          <t>GÖTENE</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10180-2024</t>
        </is>
      </c>
      <c r="B6421" s="1" t="n">
        <v>45364.8280787037</v>
      </c>
      <c r="C6421" s="1" t="n">
        <v>46011</v>
      </c>
      <c r="D6421" t="inlineStr">
        <is>
          <t>VÄSTRA GÖTALANDS LÄN</t>
        </is>
      </c>
      <c r="E6421" t="inlineStr">
        <is>
          <t>VARA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5545-2025</t>
        </is>
      </c>
      <c r="B6422" s="1" t="n">
        <v>45693.46712962963</v>
      </c>
      <c r="C6422" s="1" t="n">
        <v>46011</v>
      </c>
      <c r="D6422" t="inlineStr">
        <is>
          <t>VÄSTRA GÖTALANDS LÄN</t>
        </is>
      </c>
      <c r="E6422" t="inlineStr">
        <is>
          <t>ÅMÅL</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32787-2025</t>
        </is>
      </c>
      <c r="B6423" s="1" t="n">
        <v>45839.48538194445</v>
      </c>
      <c r="C6423" s="1" t="n">
        <v>46011</v>
      </c>
      <c r="D6423" t="inlineStr">
        <is>
          <t>VÄSTRA GÖTALANDS LÄN</t>
        </is>
      </c>
      <c r="E6423" t="inlineStr">
        <is>
          <t>FÄRGELANDA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32799-2025</t>
        </is>
      </c>
      <c r="B6424" s="1" t="n">
        <v>45839.49334490741</v>
      </c>
      <c r="C6424" s="1" t="n">
        <v>46011</v>
      </c>
      <c r="D6424" t="inlineStr">
        <is>
          <t>VÄSTRA GÖTALANDS LÄN</t>
        </is>
      </c>
      <c r="E6424" t="inlineStr">
        <is>
          <t>FÄRGELANDA</t>
        </is>
      </c>
      <c r="G6424" t="n">
        <v>11.8</v>
      </c>
      <c r="H6424" t="n">
        <v>0</v>
      </c>
      <c r="I6424" t="n">
        <v>0</v>
      </c>
      <c r="J6424" t="n">
        <v>0</v>
      </c>
      <c r="K6424" t="n">
        <v>0</v>
      </c>
      <c r="L6424" t="n">
        <v>0</v>
      </c>
      <c r="M6424" t="n">
        <v>0</v>
      </c>
      <c r="N6424" t="n">
        <v>0</v>
      </c>
      <c r="O6424" t="n">
        <v>0</v>
      </c>
      <c r="P6424" t="n">
        <v>0</v>
      </c>
      <c r="Q6424" t="n">
        <v>0</v>
      </c>
      <c r="R6424" s="2" t="inlineStr"/>
    </row>
    <row r="6425" ht="15" customHeight="1">
      <c r="A6425" t="inlineStr">
        <is>
          <t>A 40939-2024</t>
        </is>
      </c>
      <c r="B6425" s="1" t="n">
        <v>45558.64363425926</v>
      </c>
      <c r="C6425" s="1" t="n">
        <v>46011</v>
      </c>
      <c r="D6425" t="inlineStr">
        <is>
          <t>VÄSTRA GÖTALANDS LÄN</t>
        </is>
      </c>
      <c r="E6425" t="inlineStr">
        <is>
          <t>VÄNERSBORG</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32862-2025</t>
        </is>
      </c>
      <c r="B6426" s="1" t="n">
        <v>45839.5834837963</v>
      </c>
      <c r="C6426" s="1" t="n">
        <v>46011</v>
      </c>
      <c r="D6426" t="inlineStr">
        <is>
          <t>VÄSTRA GÖTALANDS LÄN</t>
        </is>
      </c>
      <c r="E6426" t="inlineStr">
        <is>
          <t>BOLLEBYGD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45223-2025</t>
        </is>
      </c>
      <c r="B6427" s="1" t="n">
        <v>45919.58</v>
      </c>
      <c r="C6427" s="1" t="n">
        <v>46011</v>
      </c>
      <c r="D6427" t="inlineStr">
        <is>
          <t>VÄSTRA GÖTALANDS LÄN</t>
        </is>
      </c>
      <c r="E6427" t="inlineStr">
        <is>
          <t>ESSUNGA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45091-2025</t>
        </is>
      </c>
      <c r="B6428" s="1" t="n">
        <v>45919.38120370371</v>
      </c>
      <c r="C6428" s="1" t="n">
        <v>46011</v>
      </c>
      <c r="D6428" t="inlineStr">
        <is>
          <t>VÄSTRA GÖTALANDS LÄN</t>
        </is>
      </c>
      <c r="E6428" t="inlineStr">
        <is>
          <t>HERRLJUNGA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4306-2023</t>
        </is>
      </c>
      <c r="B6429" s="1" t="n">
        <v>44953</v>
      </c>
      <c r="C6429" s="1" t="n">
        <v>46011</v>
      </c>
      <c r="D6429" t="inlineStr">
        <is>
          <t>VÄSTRA GÖTALANDS LÄN</t>
        </is>
      </c>
      <c r="E6429" t="inlineStr">
        <is>
          <t>SKARA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32408-2025</t>
        </is>
      </c>
      <c r="B6430" s="1" t="n">
        <v>45838.32111111111</v>
      </c>
      <c r="C6430" s="1" t="n">
        <v>46011</v>
      </c>
      <c r="D6430" t="inlineStr">
        <is>
          <t>VÄSTRA GÖTALANDS LÄN</t>
        </is>
      </c>
      <c r="E6430" t="inlineStr">
        <is>
          <t>HERRLJUNGA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33053-2025</t>
        </is>
      </c>
      <c r="B6431" s="1" t="n">
        <v>45840.42666666667</v>
      </c>
      <c r="C6431" s="1" t="n">
        <v>46011</v>
      </c>
      <c r="D6431" t="inlineStr">
        <is>
          <t>VÄSTRA GÖTALANDS LÄN</t>
        </is>
      </c>
      <c r="E6431" t="inlineStr">
        <is>
          <t>SKÖVDE</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32878-2025</t>
        </is>
      </c>
      <c r="B6432" s="1" t="n">
        <v>45839</v>
      </c>
      <c r="C6432" s="1" t="n">
        <v>46011</v>
      </c>
      <c r="D6432" t="inlineStr">
        <is>
          <t>VÄSTRA GÖTALANDS LÄN</t>
        </is>
      </c>
      <c r="E6432" t="inlineStr">
        <is>
          <t>MARK</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32885-2025</t>
        </is>
      </c>
      <c r="B6433" s="1" t="n">
        <v>45839.59840277778</v>
      </c>
      <c r="C6433" s="1" t="n">
        <v>46011</v>
      </c>
      <c r="D6433" t="inlineStr">
        <is>
          <t>VÄSTRA GÖTALANDS LÄN</t>
        </is>
      </c>
      <c r="E6433" t="inlineStr">
        <is>
          <t>MARK</t>
        </is>
      </c>
      <c r="F6433" t="inlineStr">
        <is>
          <t>Sveaskog</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29554-2022</t>
        </is>
      </c>
      <c r="B6434" s="1" t="n">
        <v>44754.33582175926</v>
      </c>
      <c r="C6434" s="1" t="n">
        <v>46011</v>
      </c>
      <c r="D6434" t="inlineStr">
        <is>
          <t>VÄSTRA GÖTALANDS LÄN</t>
        </is>
      </c>
      <c r="E6434" t="inlineStr">
        <is>
          <t>SVENLJUNGA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5358-2021</t>
        </is>
      </c>
      <c r="B6435" s="1" t="n">
        <v>44229</v>
      </c>
      <c r="C6435" s="1" t="n">
        <v>46011</v>
      </c>
      <c r="D6435" t="inlineStr">
        <is>
          <t>VÄSTRA GÖTALANDS LÄN</t>
        </is>
      </c>
      <c r="E6435" t="inlineStr">
        <is>
          <t>LIDKÖPING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45158-2025</t>
        </is>
      </c>
      <c r="B6436" s="1" t="n">
        <v>45919.48245370371</v>
      </c>
      <c r="C6436" s="1" t="n">
        <v>46011</v>
      </c>
      <c r="D6436" t="inlineStr">
        <is>
          <t>VÄSTRA GÖTALANDS LÄN</t>
        </is>
      </c>
      <c r="E6436" t="inlineStr">
        <is>
          <t>TJÖRN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48187-2023</t>
        </is>
      </c>
      <c r="B6437" s="1" t="n">
        <v>45199</v>
      </c>
      <c r="C6437" s="1" t="n">
        <v>46011</v>
      </c>
      <c r="D6437" t="inlineStr">
        <is>
          <t>VÄSTRA GÖTALANDS LÄN</t>
        </is>
      </c>
      <c r="E6437" t="inlineStr">
        <is>
          <t>MARIESTAD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12628-2023</t>
        </is>
      </c>
      <c r="B6438" s="1" t="n">
        <v>45000</v>
      </c>
      <c r="C6438" s="1" t="n">
        <v>46011</v>
      </c>
      <c r="D6438" t="inlineStr">
        <is>
          <t>VÄSTRA GÖTALANDS LÄN</t>
        </is>
      </c>
      <c r="E6438" t="inlineStr">
        <is>
          <t>LILLA EDET</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32918-2025</t>
        </is>
      </c>
      <c r="B6439" s="1" t="n">
        <v>45839.64229166666</v>
      </c>
      <c r="C6439" s="1" t="n">
        <v>46011</v>
      </c>
      <c r="D6439" t="inlineStr">
        <is>
          <t>VÄSTRA GÖTALANDS LÄN</t>
        </is>
      </c>
      <c r="E6439" t="inlineStr">
        <is>
          <t>ÅMÅL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32929-2025</t>
        </is>
      </c>
      <c r="B6440" s="1" t="n">
        <v>45839.66587962963</v>
      </c>
      <c r="C6440" s="1" t="n">
        <v>46011</v>
      </c>
      <c r="D6440" t="inlineStr">
        <is>
          <t>VÄSTRA GÖTALANDS LÄN</t>
        </is>
      </c>
      <c r="E6440" t="inlineStr">
        <is>
          <t>MARK</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10345-2021</t>
        </is>
      </c>
      <c r="B6441" s="1" t="n">
        <v>44257</v>
      </c>
      <c r="C6441" s="1" t="n">
        <v>46011</v>
      </c>
      <c r="D6441" t="inlineStr">
        <is>
          <t>VÄSTRA GÖTALANDS LÄN</t>
        </is>
      </c>
      <c r="E6441" t="inlineStr">
        <is>
          <t>GÖTENE</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28552-2022</t>
        </is>
      </c>
      <c r="B6442" s="1" t="n">
        <v>44748.42736111111</v>
      </c>
      <c r="C6442" s="1" t="n">
        <v>46011</v>
      </c>
      <c r="D6442" t="inlineStr">
        <is>
          <t>VÄSTRA GÖTALANDS LÄN</t>
        </is>
      </c>
      <c r="E6442" t="inlineStr">
        <is>
          <t>BORÅS</t>
        </is>
      </c>
      <c r="F6442" t="inlineStr">
        <is>
          <t>Kommuner</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45567-2025</t>
        </is>
      </c>
      <c r="B6443" s="1" t="n">
        <v>45922.65501157408</v>
      </c>
      <c r="C6443" s="1" t="n">
        <v>46011</v>
      </c>
      <c r="D6443" t="inlineStr">
        <is>
          <t>VÄSTRA GÖTALANDS LÄN</t>
        </is>
      </c>
      <c r="E6443" t="inlineStr">
        <is>
          <t>UDDEVALLA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47650-2024</t>
        </is>
      </c>
      <c r="B6444" s="1" t="n">
        <v>45588.38049768518</v>
      </c>
      <c r="C6444" s="1" t="n">
        <v>46011</v>
      </c>
      <c r="D6444" t="inlineStr">
        <is>
          <t>VÄSTRA GÖTALANDS LÄN</t>
        </is>
      </c>
      <c r="E6444" t="inlineStr">
        <is>
          <t>DALS-ED</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22532-2025</t>
        </is>
      </c>
      <c r="B6445" s="1" t="n">
        <v>45786</v>
      </c>
      <c r="C6445" s="1" t="n">
        <v>46011</v>
      </c>
      <c r="D6445" t="inlineStr">
        <is>
          <t>VÄSTRA GÖTALANDS LÄN</t>
        </is>
      </c>
      <c r="E6445" t="inlineStr">
        <is>
          <t>VARA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45610-2025</t>
        </is>
      </c>
      <c r="B6446" s="1" t="n">
        <v>45922.7158449074</v>
      </c>
      <c r="C6446" s="1" t="n">
        <v>46011</v>
      </c>
      <c r="D6446" t="inlineStr">
        <is>
          <t>VÄSTRA GÖTALANDS LÄN</t>
        </is>
      </c>
      <c r="E6446" t="inlineStr">
        <is>
          <t>ALINGSÅS</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34314-2024</t>
        </is>
      </c>
      <c r="B6447" s="1" t="n">
        <v>45524</v>
      </c>
      <c r="C6447" s="1" t="n">
        <v>46011</v>
      </c>
      <c r="D6447" t="inlineStr">
        <is>
          <t>VÄSTRA GÖTALANDS LÄN</t>
        </is>
      </c>
      <c r="E6447" t="inlineStr">
        <is>
          <t>KARLSBORG</t>
        </is>
      </c>
      <c r="F6447" t="inlineStr">
        <is>
          <t>Övriga Aktiebolag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32463-2025</t>
        </is>
      </c>
      <c r="B6448" s="1" t="n">
        <v>45838.41680555556</v>
      </c>
      <c r="C6448" s="1" t="n">
        <v>46011</v>
      </c>
      <c r="D6448" t="inlineStr">
        <is>
          <t>VÄSTRA GÖTALANDS LÄN</t>
        </is>
      </c>
      <c r="E6448" t="inlineStr">
        <is>
          <t>ALINGSÅS</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32905-2025</t>
        </is>
      </c>
      <c r="B6449" s="1" t="n">
        <v>45839</v>
      </c>
      <c r="C6449" s="1" t="n">
        <v>46011</v>
      </c>
      <c r="D6449" t="inlineStr">
        <is>
          <t>VÄSTRA GÖTALANDS LÄN</t>
        </is>
      </c>
      <c r="E6449" t="inlineStr">
        <is>
          <t>BORÅS</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32789-2025</t>
        </is>
      </c>
      <c r="B6450" s="1" t="n">
        <v>45839.48761574074</v>
      </c>
      <c r="C6450" s="1" t="n">
        <v>46011</v>
      </c>
      <c r="D6450" t="inlineStr">
        <is>
          <t>VÄSTRA GÖTALANDS LÄN</t>
        </is>
      </c>
      <c r="E6450" t="inlineStr">
        <is>
          <t>FÄRGELANDA</t>
        </is>
      </c>
      <c r="G6450" t="n">
        <v>20.6</v>
      </c>
      <c r="H6450" t="n">
        <v>0</v>
      </c>
      <c r="I6450" t="n">
        <v>0</v>
      </c>
      <c r="J6450" t="n">
        <v>0</v>
      </c>
      <c r="K6450" t="n">
        <v>0</v>
      </c>
      <c r="L6450" t="n">
        <v>0</v>
      </c>
      <c r="M6450" t="n">
        <v>0</v>
      </c>
      <c r="N6450" t="n">
        <v>0</v>
      </c>
      <c r="O6450" t="n">
        <v>0</v>
      </c>
      <c r="P6450" t="n">
        <v>0</v>
      </c>
      <c r="Q6450" t="n">
        <v>0</v>
      </c>
      <c r="R6450" s="2" t="inlineStr"/>
    </row>
    <row r="6451" ht="15" customHeight="1">
      <c r="A6451" t="inlineStr">
        <is>
          <t>A 32602-2025</t>
        </is>
      </c>
      <c r="B6451" s="1" t="n">
        <v>45838.62430555555</v>
      </c>
      <c r="C6451" s="1" t="n">
        <v>46011</v>
      </c>
      <c r="D6451" t="inlineStr">
        <is>
          <t>VÄSTRA GÖTALANDS LÄN</t>
        </is>
      </c>
      <c r="E6451" t="inlineStr">
        <is>
          <t>ULRICEHAMN</t>
        </is>
      </c>
      <c r="F6451" t="inlineStr">
        <is>
          <t>Sveaskog</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53391-2024</t>
        </is>
      </c>
      <c r="B6452" s="1" t="n">
        <v>45614.48202546296</v>
      </c>
      <c r="C6452" s="1" t="n">
        <v>46011</v>
      </c>
      <c r="D6452" t="inlineStr">
        <is>
          <t>VÄSTRA GÖTALANDS LÄN</t>
        </is>
      </c>
      <c r="E6452" t="inlineStr">
        <is>
          <t>HERRLJUNGA</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33493-2021</t>
        </is>
      </c>
      <c r="B6453" s="1" t="n">
        <v>44377</v>
      </c>
      <c r="C6453" s="1" t="n">
        <v>46011</v>
      </c>
      <c r="D6453" t="inlineStr">
        <is>
          <t>VÄSTRA GÖTALANDS LÄN</t>
        </is>
      </c>
      <c r="E6453" t="inlineStr">
        <is>
          <t>KUNGÄLV</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13325-2022</t>
        </is>
      </c>
      <c r="B6454" s="1" t="n">
        <v>44645.34487268519</v>
      </c>
      <c r="C6454" s="1" t="n">
        <v>46011</v>
      </c>
      <c r="D6454" t="inlineStr">
        <is>
          <t>VÄSTRA GÖTALANDS LÄN</t>
        </is>
      </c>
      <c r="E6454" t="inlineStr">
        <is>
          <t>STRÖMSTAD</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45170-2025</t>
        </is>
      </c>
      <c r="B6455" s="1" t="n">
        <v>45919.50083333333</v>
      </c>
      <c r="C6455" s="1" t="n">
        <v>46011</v>
      </c>
      <c r="D6455" t="inlineStr">
        <is>
          <t>VÄSTRA GÖTALANDS LÄN</t>
        </is>
      </c>
      <c r="E6455" t="inlineStr">
        <is>
          <t>TIDAHOLM</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33270-2025</t>
        </is>
      </c>
      <c r="B6456" s="1" t="n">
        <v>45840.68247685185</v>
      </c>
      <c r="C6456" s="1" t="n">
        <v>46011</v>
      </c>
      <c r="D6456" t="inlineStr">
        <is>
          <t>VÄSTRA GÖTALANDS LÄN</t>
        </is>
      </c>
      <c r="E6456" t="inlineStr">
        <is>
          <t>MARK</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53814-2024</t>
        </is>
      </c>
      <c r="B6457" s="1" t="n">
        <v>45615</v>
      </c>
      <c r="C6457" s="1" t="n">
        <v>46011</v>
      </c>
      <c r="D6457" t="inlineStr">
        <is>
          <t>VÄSTRA GÖTALANDS LÄN</t>
        </is>
      </c>
      <c r="E6457" t="inlineStr">
        <is>
          <t>LIDKÖPING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45601-2025</t>
        </is>
      </c>
      <c r="B6458" s="1" t="n">
        <v>45922.68894675926</v>
      </c>
      <c r="C6458" s="1" t="n">
        <v>46011</v>
      </c>
      <c r="D6458" t="inlineStr">
        <is>
          <t>VÄSTRA GÖTALANDS LÄN</t>
        </is>
      </c>
      <c r="E6458" t="inlineStr">
        <is>
          <t>UDDEVALLA</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37036-2024</t>
        </is>
      </c>
      <c r="B6459" s="1" t="n">
        <v>45539.40431712963</v>
      </c>
      <c r="C6459" s="1" t="n">
        <v>46011</v>
      </c>
      <c r="D6459" t="inlineStr">
        <is>
          <t>VÄSTRA GÖTALANDS LÄN</t>
        </is>
      </c>
      <c r="E6459" t="inlineStr">
        <is>
          <t>SKARA</t>
        </is>
      </c>
      <c r="F6459" t="inlineStr">
        <is>
          <t>Sveaskog</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45513-2025</t>
        </is>
      </c>
      <c r="B6460" s="1" t="n">
        <v>45922.58141203703</v>
      </c>
      <c r="C6460" s="1" t="n">
        <v>46011</v>
      </c>
      <c r="D6460" t="inlineStr">
        <is>
          <t>VÄSTRA GÖTALANDS LÄN</t>
        </is>
      </c>
      <c r="E6460" t="inlineStr">
        <is>
          <t>TRANEMO</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45292-2025</t>
        </is>
      </c>
      <c r="B6461" s="1" t="n">
        <v>45920.43488425926</v>
      </c>
      <c r="C6461" s="1" t="n">
        <v>46011</v>
      </c>
      <c r="D6461" t="inlineStr">
        <is>
          <t>VÄSTRA GÖTALANDS LÄN</t>
        </is>
      </c>
      <c r="E6461" t="inlineStr">
        <is>
          <t>VÅRGÅRDA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45088-2025</t>
        </is>
      </c>
      <c r="B6462" s="1" t="n">
        <v>45919.37598379629</v>
      </c>
      <c r="C6462" s="1" t="n">
        <v>46011</v>
      </c>
      <c r="D6462" t="inlineStr">
        <is>
          <t>VÄSTRA GÖTALANDS LÄN</t>
        </is>
      </c>
      <c r="E6462" t="inlineStr">
        <is>
          <t>TJÖRN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33095-2025</t>
        </is>
      </c>
      <c r="B6463" s="1" t="n">
        <v>45840.47387731481</v>
      </c>
      <c r="C6463" s="1" t="n">
        <v>46011</v>
      </c>
      <c r="D6463" t="inlineStr">
        <is>
          <t>VÄSTRA GÖTALANDS LÄN</t>
        </is>
      </c>
      <c r="E6463" t="inlineStr">
        <is>
          <t>SKARA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32735-2025</t>
        </is>
      </c>
      <c r="B6464" s="1" t="n">
        <v>45839.40773148148</v>
      </c>
      <c r="C6464" s="1" t="n">
        <v>46011</v>
      </c>
      <c r="D6464" t="inlineStr">
        <is>
          <t>VÄSTRA GÖTALANDS LÄN</t>
        </is>
      </c>
      <c r="E6464" t="inlineStr">
        <is>
          <t>TANUM</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33060-2025</t>
        </is>
      </c>
      <c r="B6465" s="1" t="n">
        <v>45840.43331018519</v>
      </c>
      <c r="C6465" s="1" t="n">
        <v>46011</v>
      </c>
      <c r="D6465" t="inlineStr">
        <is>
          <t>VÄSTRA GÖTALANDS LÄN</t>
        </is>
      </c>
      <c r="E6465" t="inlineStr">
        <is>
          <t>SVENLJUNGA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39791-2024</t>
        </is>
      </c>
      <c r="B6466" s="1" t="n">
        <v>45553.33474537037</v>
      </c>
      <c r="C6466" s="1" t="n">
        <v>46011</v>
      </c>
      <c r="D6466" t="inlineStr">
        <is>
          <t>VÄSTRA GÖTALANDS LÄN</t>
        </is>
      </c>
      <c r="E6466" t="inlineStr">
        <is>
          <t>TÖREBODA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45485-2024</t>
        </is>
      </c>
      <c r="B6467" s="1" t="n">
        <v>45577.37418981481</v>
      </c>
      <c r="C6467" s="1" t="n">
        <v>46011</v>
      </c>
      <c r="D6467" t="inlineStr">
        <is>
          <t>VÄSTRA GÖTALANDS LÄN</t>
        </is>
      </c>
      <c r="E6467" t="inlineStr">
        <is>
          <t>BORÅS</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45330-2025</t>
        </is>
      </c>
      <c r="B6468" s="1" t="n">
        <v>45922.33628472222</v>
      </c>
      <c r="C6468" s="1" t="n">
        <v>46011</v>
      </c>
      <c r="D6468" t="inlineStr">
        <is>
          <t>VÄSTRA GÖTALANDS LÄN</t>
        </is>
      </c>
      <c r="E6468" t="inlineStr">
        <is>
          <t>HERRLJUNGA</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45347-2025</t>
        </is>
      </c>
      <c r="B6469" s="1" t="n">
        <v>45922.35247685185</v>
      </c>
      <c r="C6469" s="1" t="n">
        <v>46011</v>
      </c>
      <c r="D6469" t="inlineStr">
        <is>
          <t>VÄSTRA GÖTALANDS LÄN</t>
        </is>
      </c>
      <c r="E6469" t="inlineStr">
        <is>
          <t>MARIESTAD</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32612-2025</t>
        </is>
      </c>
      <c r="B6470" s="1" t="n">
        <v>45838.63969907408</v>
      </c>
      <c r="C6470" s="1" t="n">
        <v>46011</v>
      </c>
      <c r="D6470" t="inlineStr">
        <is>
          <t>VÄSTRA GÖTALANDS LÄN</t>
        </is>
      </c>
      <c r="E6470" t="inlineStr">
        <is>
          <t>ULRICEHAMN</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45363-2025</t>
        </is>
      </c>
      <c r="B6471" s="1" t="n">
        <v>45922.38008101852</v>
      </c>
      <c r="C6471" s="1" t="n">
        <v>46011</v>
      </c>
      <c r="D6471" t="inlineStr">
        <is>
          <t>VÄSTRA GÖTALANDS LÄN</t>
        </is>
      </c>
      <c r="E6471" t="inlineStr">
        <is>
          <t>LERUM</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45345-2025</t>
        </is>
      </c>
      <c r="B6472" s="1" t="n">
        <v>45922.34819444444</v>
      </c>
      <c r="C6472" s="1" t="n">
        <v>46011</v>
      </c>
      <c r="D6472" t="inlineStr">
        <is>
          <t>VÄSTRA GÖTALANDS LÄN</t>
        </is>
      </c>
      <c r="E6472" t="inlineStr">
        <is>
          <t>TANUM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45350-2025</t>
        </is>
      </c>
      <c r="B6473" s="1" t="n">
        <v>45922</v>
      </c>
      <c r="C6473" s="1" t="n">
        <v>46011</v>
      </c>
      <c r="D6473" t="inlineStr">
        <is>
          <t>VÄSTRA GÖTALANDS LÄN</t>
        </is>
      </c>
      <c r="E6473" t="inlineStr">
        <is>
          <t>TANUM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19332-2023</t>
        </is>
      </c>
      <c r="B6474" s="1" t="n">
        <v>45049</v>
      </c>
      <c r="C6474" s="1" t="n">
        <v>46011</v>
      </c>
      <c r="D6474" t="inlineStr">
        <is>
          <t>VÄSTRA GÖTALANDS LÄN</t>
        </is>
      </c>
      <c r="E6474" t="inlineStr">
        <is>
          <t>FÄRGELANDA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21285-2024</t>
        </is>
      </c>
      <c r="B6475" s="1" t="n">
        <v>45440.65799768519</v>
      </c>
      <c r="C6475" s="1" t="n">
        <v>46011</v>
      </c>
      <c r="D6475" t="inlineStr">
        <is>
          <t>VÄSTRA GÖTALANDS LÄN</t>
        </is>
      </c>
      <c r="E6475" t="inlineStr">
        <is>
          <t>GÖTENE</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5317-2023</t>
        </is>
      </c>
      <c r="B6476" s="1" t="n">
        <v>44959.56810185185</v>
      </c>
      <c r="C6476" s="1" t="n">
        <v>46011</v>
      </c>
      <c r="D6476" t="inlineStr">
        <is>
          <t>VÄSTRA GÖTALANDS LÄN</t>
        </is>
      </c>
      <c r="E6476" t="inlineStr">
        <is>
          <t>ULRICEHAMN</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4703-2024</t>
        </is>
      </c>
      <c r="B6477" s="1" t="n">
        <v>45328</v>
      </c>
      <c r="C6477" s="1" t="n">
        <v>46011</v>
      </c>
      <c r="D6477" t="inlineStr">
        <is>
          <t>VÄSTRA GÖTALANDS LÄN</t>
        </is>
      </c>
      <c r="E6477" t="inlineStr">
        <is>
          <t>TRANEMO</t>
        </is>
      </c>
      <c r="F6477" t="inlineStr">
        <is>
          <t>Sveaskog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4706-2024</t>
        </is>
      </c>
      <c r="B6478" s="1" t="n">
        <v>45328</v>
      </c>
      <c r="C6478" s="1" t="n">
        <v>46011</v>
      </c>
      <c r="D6478" t="inlineStr">
        <is>
          <t>VÄSTRA GÖTALANDS LÄN</t>
        </is>
      </c>
      <c r="E6478" t="inlineStr">
        <is>
          <t>TRANEMO</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45059-2025</t>
        </is>
      </c>
      <c r="B6479" s="1" t="n">
        <v>45919</v>
      </c>
      <c r="C6479" s="1" t="n">
        <v>46011</v>
      </c>
      <c r="D6479" t="inlineStr">
        <is>
          <t>VÄSTRA GÖTALANDS LÄN</t>
        </is>
      </c>
      <c r="E6479" t="inlineStr">
        <is>
          <t>UDDEVALLA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17508-2022</t>
        </is>
      </c>
      <c r="B6480" s="1" t="n">
        <v>44679.53668981481</v>
      </c>
      <c r="C6480" s="1" t="n">
        <v>46011</v>
      </c>
      <c r="D6480" t="inlineStr">
        <is>
          <t>VÄSTRA GÖTALANDS LÄN</t>
        </is>
      </c>
      <c r="E6480" t="inlineStr">
        <is>
          <t>HERRLJUNGA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5327-2023</t>
        </is>
      </c>
      <c r="B6481" s="1" t="n">
        <v>44959</v>
      </c>
      <c r="C6481" s="1" t="n">
        <v>46011</v>
      </c>
      <c r="D6481" t="inlineStr">
        <is>
          <t>VÄSTRA GÖTALANDS LÄN</t>
        </is>
      </c>
      <c r="E6481" t="inlineStr">
        <is>
          <t>ULRICEHAMN</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5328-2023</t>
        </is>
      </c>
      <c r="B6482" s="1" t="n">
        <v>44959</v>
      </c>
      <c r="C6482" s="1" t="n">
        <v>46011</v>
      </c>
      <c r="D6482" t="inlineStr">
        <is>
          <t>VÄSTRA GÖTALANDS LÄN</t>
        </is>
      </c>
      <c r="E6482" t="inlineStr">
        <is>
          <t>ULRICEHAMN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45502-2025</t>
        </is>
      </c>
      <c r="B6483" s="1" t="n">
        <v>45922.57309027778</v>
      </c>
      <c r="C6483" s="1" t="n">
        <v>46011</v>
      </c>
      <c r="D6483" t="inlineStr">
        <is>
          <t>VÄSTRA GÖTALANDS LÄN</t>
        </is>
      </c>
      <c r="E6483" t="inlineStr">
        <is>
          <t>TRANEMO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45986-2025</t>
        </is>
      </c>
      <c r="B6484" s="1" t="n">
        <v>45924.38350694445</v>
      </c>
      <c r="C6484" s="1" t="n">
        <v>46011</v>
      </c>
      <c r="D6484" t="inlineStr">
        <is>
          <t>VÄSTRA GÖTALANDS LÄN</t>
        </is>
      </c>
      <c r="E6484" t="inlineStr">
        <is>
          <t>MARK</t>
        </is>
      </c>
      <c r="G6484" t="n">
        <v>0.1</v>
      </c>
      <c r="H6484" t="n">
        <v>0</v>
      </c>
      <c r="I6484" t="n">
        <v>0</v>
      </c>
      <c r="J6484" t="n">
        <v>0</v>
      </c>
      <c r="K6484" t="n">
        <v>0</v>
      </c>
      <c r="L6484" t="n">
        <v>0</v>
      </c>
      <c r="M6484" t="n">
        <v>0</v>
      </c>
      <c r="N6484" t="n">
        <v>0</v>
      </c>
      <c r="O6484" t="n">
        <v>0</v>
      </c>
      <c r="P6484" t="n">
        <v>0</v>
      </c>
      <c r="Q6484" t="n">
        <v>0</v>
      </c>
      <c r="R6484" s="2" t="inlineStr"/>
    </row>
    <row r="6485" ht="15" customHeight="1">
      <c r="A6485" t="inlineStr">
        <is>
          <t>A 32998-2025</t>
        </is>
      </c>
      <c r="B6485" s="1" t="n">
        <v>45840.33878472223</v>
      </c>
      <c r="C6485" s="1" t="n">
        <v>46011</v>
      </c>
      <c r="D6485" t="inlineStr">
        <is>
          <t>VÄSTRA GÖTALANDS LÄN</t>
        </is>
      </c>
      <c r="E6485" t="inlineStr">
        <is>
          <t>FALKÖPING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43564-2024</t>
        </is>
      </c>
      <c r="B6486" s="1" t="n">
        <v>45569</v>
      </c>
      <c r="C6486" s="1" t="n">
        <v>46011</v>
      </c>
      <c r="D6486" t="inlineStr">
        <is>
          <t>VÄSTRA GÖTALANDS LÄN</t>
        </is>
      </c>
      <c r="E6486" t="inlineStr">
        <is>
          <t>GULLSPÅNG</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45821-2025</t>
        </is>
      </c>
      <c r="B6487" s="1" t="n">
        <v>45923.59707175926</v>
      </c>
      <c r="C6487" s="1" t="n">
        <v>46011</v>
      </c>
      <c r="D6487" t="inlineStr">
        <is>
          <t>VÄSTRA GÖTALANDS LÄN</t>
        </is>
      </c>
      <c r="E6487" t="inlineStr">
        <is>
          <t>TIBRO</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43624-2024</t>
        </is>
      </c>
      <c r="B6488" s="1" t="n">
        <v>45569.4868287037</v>
      </c>
      <c r="C6488" s="1" t="n">
        <v>46011</v>
      </c>
      <c r="D6488" t="inlineStr">
        <is>
          <t>VÄSTRA GÖTALANDS LÄN</t>
        </is>
      </c>
      <c r="E6488" t="inlineStr">
        <is>
          <t>VARA</t>
        </is>
      </c>
      <c r="F6488" t="inlineStr">
        <is>
          <t>Kyrkan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32967-2025</t>
        </is>
      </c>
      <c r="B6489" s="1" t="n">
        <v>45839.72451388889</v>
      </c>
      <c r="C6489" s="1" t="n">
        <v>46011</v>
      </c>
      <c r="D6489" t="inlineStr">
        <is>
          <t>VÄSTRA GÖTALANDS LÄN</t>
        </is>
      </c>
      <c r="E6489" t="inlineStr">
        <is>
          <t>GÖTENE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45836-2025</t>
        </is>
      </c>
      <c r="B6490" s="1" t="n">
        <v>45923.61116898148</v>
      </c>
      <c r="C6490" s="1" t="n">
        <v>46011</v>
      </c>
      <c r="D6490" t="inlineStr">
        <is>
          <t>VÄSTRA GÖTALANDS LÄN</t>
        </is>
      </c>
      <c r="E6490" t="inlineStr">
        <is>
          <t>FALKÖPING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33300-2025</t>
        </is>
      </c>
      <c r="B6491" s="1" t="n">
        <v>45840.93423611111</v>
      </c>
      <c r="C6491" s="1" t="n">
        <v>46011</v>
      </c>
      <c r="D6491" t="inlineStr">
        <is>
          <t>VÄSTRA GÖTALANDS LÄN</t>
        </is>
      </c>
      <c r="E6491" t="inlineStr">
        <is>
          <t>ORUST</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48163-2024</t>
        </is>
      </c>
      <c r="B6492" s="1" t="n">
        <v>45589</v>
      </c>
      <c r="C6492" s="1" t="n">
        <v>46011</v>
      </c>
      <c r="D6492" t="inlineStr">
        <is>
          <t>VÄSTRA GÖTALANDS LÄN</t>
        </is>
      </c>
      <c r="E6492" t="inlineStr">
        <is>
          <t>VÄNERSBORG</t>
        </is>
      </c>
      <c r="G6492" t="n">
        <v>14.4</v>
      </c>
      <c r="H6492" t="n">
        <v>0</v>
      </c>
      <c r="I6492" t="n">
        <v>0</v>
      </c>
      <c r="J6492" t="n">
        <v>0</v>
      </c>
      <c r="K6492" t="n">
        <v>0</v>
      </c>
      <c r="L6492" t="n">
        <v>0</v>
      </c>
      <c r="M6492" t="n">
        <v>0</v>
      </c>
      <c r="N6492" t="n">
        <v>0</v>
      </c>
      <c r="O6492" t="n">
        <v>0</v>
      </c>
      <c r="P6492" t="n">
        <v>0</v>
      </c>
      <c r="Q6492" t="n">
        <v>0</v>
      </c>
      <c r="R6492" s="2" t="inlineStr"/>
    </row>
    <row r="6493" ht="15" customHeight="1">
      <c r="A6493" t="inlineStr">
        <is>
          <t>A 45872-2025</t>
        </is>
      </c>
      <c r="B6493" s="1" t="n">
        <v>45923.65538194445</v>
      </c>
      <c r="C6493" s="1" t="n">
        <v>46011</v>
      </c>
      <c r="D6493" t="inlineStr">
        <is>
          <t>VÄSTRA GÖTALANDS LÄN</t>
        </is>
      </c>
      <c r="E6493" t="inlineStr">
        <is>
          <t>BENGTSFORS</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48225-2024</t>
        </is>
      </c>
      <c r="B6494" s="1" t="n">
        <v>45590.36800925926</v>
      </c>
      <c r="C6494" s="1" t="n">
        <v>46011</v>
      </c>
      <c r="D6494" t="inlineStr">
        <is>
          <t>VÄSTRA GÖTALANDS LÄN</t>
        </is>
      </c>
      <c r="E6494" t="inlineStr">
        <is>
          <t>SKÖVDE</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46056-2025</t>
        </is>
      </c>
      <c r="B6495" s="1" t="n">
        <v>45924.46421296296</v>
      </c>
      <c r="C6495" s="1" t="n">
        <v>46011</v>
      </c>
      <c r="D6495" t="inlineStr">
        <is>
          <t>VÄSTRA GÖTALANDS LÄN</t>
        </is>
      </c>
      <c r="E6495" t="inlineStr">
        <is>
          <t>MARK</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46064-2025</t>
        </is>
      </c>
      <c r="B6496" s="1" t="n">
        <v>45924.48055555556</v>
      </c>
      <c r="C6496" s="1" t="n">
        <v>46011</v>
      </c>
      <c r="D6496" t="inlineStr">
        <is>
          <t>VÄSTRA GÖTALANDS LÄN</t>
        </is>
      </c>
      <c r="E6496" t="inlineStr">
        <is>
          <t>ALINGSÅS</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46155-2025</t>
        </is>
      </c>
      <c r="B6497" s="1" t="n">
        <v>45924.61878472222</v>
      </c>
      <c r="C6497" s="1" t="n">
        <v>46011</v>
      </c>
      <c r="D6497" t="inlineStr">
        <is>
          <t>VÄSTRA GÖTALANDS LÄN</t>
        </is>
      </c>
      <c r="E6497" t="inlineStr">
        <is>
          <t>SKARA</t>
        </is>
      </c>
      <c r="F6497" t="inlineStr">
        <is>
          <t>Kyrkan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46171-2025</t>
        </is>
      </c>
      <c r="B6498" s="1" t="n">
        <v>45924.64631944444</v>
      </c>
      <c r="C6498" s="1" t="n">
        <v>46011</v>
      </c>
      <c r="D6498" t="inlineStr">
        <is>
          <t>VÄSTRA GÖTALANDS LÄN</t>
        </is>
      </c>
      <c r="E6498" t="inlineStr">
        <is>
          <t>ULRICEHAMN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33544-2025</t>
        </is>
      </c>
      <c r="B6499" s="1" t="n">
        <v>45841.56569444444</v>
      </c>
      <c r="C6499" s="1" t="n">
        <v>46011</v>
      </c>
      <c r="D6499" t="inlineStr">
        <is>
          <t>VÄSTRA GÖTALANDS LÄN</t>
        </is>
      </c>
      <c r="E6499" t="inlineStr">
        <is>
          <t>TÖREBODA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33559-2025</t>
        </is>
      </c>
      <c r="B6500" s="1" t="n">
        <v>45841.57549768518</v>
      </c>
      <c r="C6500" s="1" t="n">
        <v>46011</v>
      </c>
      <c r="D6500" t="inlineStr">
        <is>
          <t>VÄSTRA GÖTALANDS LÄN</t>
        </is>
      </c>
      <c r="E6500" t="inlineStr">
        <is>
          <t>STRÖMSTAD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21363-2023</t>
        </is>
      </c>
      <c r="B6501" s="1" t="n">
        <v>45063.25231481482</v>
      </c>
      <c r="C6501" s="1" t="n">
        <v>46011</v>
      </c>
      <c r="D6501" t="inlineStr">
        <is>
          <t>VÄSTRA GÖTALANDS LÄN</t>
        </is>
      </c>
      <c r="E6501" t="inlineStr">
        <is>
          <t>TROLLHÄTTAN</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21379-2023</t>
        </is>
      </c>
      <c r="B6502" s="1" t="n">
        <v>45063.34819444444</v>
      </c>
      <c r="C6502" s="1" t="n">
        <v>46011</v>
      </c>
      <c r="D6502" t="inlineStr">
        <is>
          <t>VÄSTRA GÖTALANDS LÄN</t>
        </is>
      </c>
      <c r="E6502" t="inlineStr">
        <is>
          <t>TJÖRN</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2577-2023</t>
        </is>
      </c>
      <c r="B6503" s="1" t="n">
        <v>44943.78166666667</v>
      </c>
      <c r="C6503" s="1" t="n">
        <v>46011</v>
      </c>
      <c r="D6503" t="inlineStr">
        <is>
          <t>VÄSTRA GÖTALANDS LÄN</t>
        </is>
      </c>
      <c r="E6503" t="inlineStr">
        <is>
          <t>MARIESTAD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12460-2022</t>
        </is>
      </c>
      <c r="B6504" s="1" t="n">
        <v>44638</v>
      </c>
      <c r="C6504" s="1" t="n">
        <v>46011</v>
      </c>
      <c r="D6504" t="inlineStr">
        <is>
          <t>VÄSTRA GÖTALANDS LÄN</t>
        </is>
      </c>
      <c r="E6504" t="inlineStr">
        <is>
          <t>FÄRGELANDA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33672-2025</t>
        </is>
      </c>
      <c r="B6505" s="1" t="n">
        <v>45841</v>
      </c>
      <c r="C6505" s="1" t="n">
        <v>46011</v>
      </c>
      <c r="D6505" t="inlineStr">
        <is>
          <t>VÄSTRA GÖTALANDS LÄN</t>
        </is>
      </c>
      <c r="E6505" t="inlineStr">
        <is>
          <t>VARA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33709-2025</t>
        </is>
      </c>
      <c r="B6506" s="1" t="n">
        <v>45841.83203703703</v>
      </c>
      <c r="C6506" s="1" t="n">
        <v>46011</v>
      </c>
      <c r="D6506" t="inlineStr">
        <is>
          <t>VÄSTRA GÖTALANDS LÄN</t>
        </is>
      </c>
      <c r="E6506" t="inlineStr">
        <is>
          <t>TIDAHOLM</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45991-2025</t>
        </is>
      </c>
      <c r="B6507" s="1" t="n">
        <v>45924.38940972222</v>
      </c>
      <c r="C6507" s="1" t="n">
        <v>46011</v>
      </c>
      <c r="D6507" t="inlineStr">
        <is>
          <t>VÄSTRA GÖTALANDS LÄN</t>
        </is>
      </c>
      <c r="E6507" t="inlineStr">
        <is>
          <t>MELLERUD</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33725-2025</t>
        </is>
      </c>
      <c r="B6508" s="1" t="n">
        <v>45841.9329050926</v>
      </c>
      <c r="C6508" s="1" t="n">
        <v>46011</v>
      </c>
      <c r="D6508" t="inlineStr">
        <is>
          <t>VÄSTRA GÖTALANDS LÄN</t>
        </is>
      </c>
      <c r="E6508" t="inlineStr">
        <is>
          <t>BORÅS</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27667-2023</t>
        </is>
      </c>
      <c r="B6509" s="1" t="n">
        <v>45097.87364583334</v>
      </c>
      <c r="C6509" s="1" t="n">
        <v>46011</v>
      </c>
      <c r="D6509" t="inlineStr">
        <is>
          <t>VÄSTRA GÖTALANDS LÄN</t>
        </is>
      </c>
      <c r="E6509" t="inlineStr">
        <is>
          <t>TRANEMO</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46113-2025</t>
        </is>
      </c>
      <c r="B6510" s="1" t="n">
        <v>45924.57015046296</v>
      </c>
      <c r="C6510" s="1" t="n">
        <v>46011</v>
      </c>
      <c r="D6510" t="inlineStr">
        <is>
          <t>VÄSTRA GÖTALANDS LÄN</t>
        </is>
      </c>
      <c r="E6510" t="inlineStr">
        <is>
          <t>BORÅS</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46122-2025</t>
        </is>
      </c>
      <c r="B6511" s="1" t="n">
        <v>45924.58452546296</v>
      </c>
      <c r="C6511" s="1" t="n">
        <v>46011</v>
      </c>
      <c r="D6511" t="inlineStr">
        <is>
          <t>VÄSTRA GÖTALANDS LÄN</t>
        </is>
      </c>
      <c r="E6511" t="inlineStr">
        <is>
          <t>GULLSPÅNG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45775-2025</t>
        </is>
      </c>
      <c r="B6512" s="1" t="n">
        <v>45923.54349537037</v>
      </c>
      <c r="C6512" s="1" t="n">
        <v>46011</v>
      </c>
      <c r="D6512" t="inlineStr">
        <is>
          <t>VÄSTRA GÖTALANDS LÄN</t>
        </is>
      </c>
      <c r="E6512" t="inlineStr">
        <is>
          <t>SVENLJUNGA</t>
        </is>
      </c>
      <c r="F6512" t="inlineStr">
        <is>
          <t>Kyrkan</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33723-2025</t>
        </is>
      </c>
      <c r="B6513" s="1" t="n">
        <v>45841.92826388889</v>
      </c>
      <c r="C6513" s="1" t="n">
        <v>46011</v>
      </c>
      <c r="D6513" t="inlineStr">
        <is>
          <t>VÄSTRA GÖTALANDS LÄN</t>
        </is>
      </c>
      <c r="E6513" t="inlineStr">
        <is>
          <t>BORÅS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46145-2025</t>
        </is>
      </c>
      <c r="B6514" s="1" t="n">
        <v>45924.60802083334</v>
      </c>
      <c r="C6514" s="1" t="n">
        <v>46011</v>
      </c>
      <c r="D6514" t="inlineStr">
        <is>
          <t>VÄSTRA GÖTALANDS LÄN</t>
        </is>
      </c>
      <c r="E6514" t="inlineStr">
        <is>
          <t>VÄNERSBORG</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19086-2025</t>
        </is>
      </c>
      <c r="B6515" s="1" t="n">
        <v>45766.86765046296</v>
      </c>
      <c r="C6515" s="1" t="n">
        <v>46011</v>
      </c>
      <c r="D6515" t="inlineStr">
        <is>
          <t>VÄSTRA GÖTALANDS LÄN</t>
        </is>
      </c>
      <c r="E6515" t="inlineStr">
        <is>
          <t>BENGTSFORS</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18499-2022</t>
        </is>
      </c>
      <c r="B6516" s="1" t="n">
        <v>44686</v>
      </c>
      <c r="C6516" s="1" t="n">
        <v>46011</v>
      </c>
      <c r="D6516" t="inlineStr">
        <is>
          <t>VÄSTRA GÖTALANDS LÄN</t>
        </is>
      </c>
      <c r="E6516" t="inlineStr">
        <is>
          <t>ESSUNGA</t>
        </is>
      </c>
      <c r="F6516" t="inlineStr">
        <is>
          <t>Allmännings- och besparingsskogar</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50049-2024</t>
        </is>
      </c>
      <c r="B6517" s="1" t="n">
        <v>45597</v>
      </c>
      <c r="C6517" s="1" t="n">
        <v>46011</v>
      </c>
      <c r="D6517" t="inlineStr">
        <is>
          <t>VÄSTRA GÖTALANDS LÄN</t>
        </is>
      </c>
      <c r="E6517" t="inlineStr">
        <is>
          <t>TANUM</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50053-2024</t>
        </is>
      </c>
      <c r="B6518" s="1" t="n">
        <v>45600.33508101852</v>
      </c>
      <c r="C6518" s="1" t="n">
        <v>46011</v>
      </c>
      <c r="D6518" t="inlineStr">
        <is>
          <t>VÄSTRA GÖTALANDS LÄN</t>
        </is>
      </c>
      <c r="E6518" t="inlineStr">
        <is>
          <t>VÅRGÅRDA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33644-2025</t>
        </is>
      </c>
      <c r="B6519" s="1" t="n">
        <v>45841</v>
      </c>
      <c r="C6519" s="1" t="n">
        <v>46011</v>
      </c>
      <c r="D6519" t="inlineStr">
        <is>
          <t>VÄSTRA GÖTALANDS LÄN</t>
        </is>
      </c>
      <c r="E6519" t="inlineStr">
        <is>
          <t>ULRICEHAMN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33316-2025</t>
        </is>
      </c>
      <c r="B6520" s="1" t="n">
        <v>45841.34233796296</v>
      </c>
      <c r="C6520" s="1" t="n">
        <v>46011</v>
      </c>
      <c r="D6520" t="inlineStr">
        <is>
          <t>VÄSTRA GÖTALANDS LÄN</t>
        </is>
      </c>
      <c r="E6520" t="inlineStr">
        <is>
          <t>TÖREBODA</t>
        </is>
      </c>
      <c r="F6520" t="inlineStr">
        <is>
          <t>Övriga statliga verk och myndigheter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33330-2025</t>
        </is>
      </c>
      <c r="B6521" s="1" t="n">
        <v>45841.35094907408</v>
      </c>
      <c r="C6521" s="1" t="n">
        <v>46011</v>
      </c>
      <c r="D6521" t="inlineStr">
        <is>
          <t>VÄSTRA GÖTALANDS LÄN</t>
        </is>
      </c>
      <c r="E6521" t="inlineStr">
        <is>
          <t>MARK</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8968-2025</t>
        </is>
      </c>
      <c r="B6522" s="1" t="n">
        <v>45713.4958912037</v>
      </c>
      <c r="C6522" s="1" t="n">
        <v>46011</v>
      </c>
      <c r="D6522" t="inlineStr">
        <is>
          <t>VÄSTRA GÖTALANDS LÄN</t>
        </is>
      </c>
      <c r="E6522" t="inlineStr">
        <is>
          <t>HERRLJUNGA</t>
        </is>
      </c>
      <c r="G6522" t="n">
        <v>8.699999999999999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45999-2025</t>
        </is>
      </c>
      <c r="B6523" s="1" t="n">
        <v>45924</v>
      </c>
      <c r="C6523" s="1" t="n">
        <v>46011</v>
      </c>
      <c r="D6523" t="inlineStr">
        <is>
          <t>VÄSTRA GÖTALANDS LÄN</t>
        </is>
      </c>
      <c r="E6523" t="inlineStr">
        <is>
          <t>FALKÖPING</t>
        </is>
      </c>
      <c r="G6523" t="n">
        <v>10.3</v>
      </c>
      <c r="H6523" t="n">
        <v>0</v>
      </c>
      <c r="I6523" t="n">
        <v>0</v>
      </c>
      <c r="J6523" t="n">
        <v>0</v>
      </c>
      <c r="K6523" t="n">
        <v>0</v>
      </c>
      <c r="L6523" t="n">
        <v>0</v>
      </c>
      <c r="M6523" t="n">
        <v>0</v>
      </c>
      <c r="N6523" t="n">
        <v>0</v>
      </c>
      <c r="O6523" t="n">
        <v>0</v>
      </c>
      <c r="P6523" t="n">
        <v>0</v>
      </c>
      <c r="Q6523" t="n">
        <v>0</v>
      </c>
      <c r="R6523" s="2" t="inlineStr"/>
    </row>
    <row r="6524" ht="15" customHeight="1">
      <c r="A6524" t="inlineStr">
        <is>
          <t>A 8990-2025</t>
        </is>
      </c>
      <c r="B6524" s="1" t="n">
        <v>45713.54516203704</v>
      </c>
      <c r="C6524" s="1" t="n">
        <v>46011</v>
      </c>
      <c r="D6524" t="inlineStr">
        <is>
          <t>VÄSTRA GÖTALANDS LÄN</t>
        </is>
      </c>
      <c r="E6524" t="inlineStr">
        <is>
          <t>KARLSBORG</t>
        </is>
      </c>
      <c r="F6524" t="inlineStr">
        <is>
          <t>Övriga Aktiebolag</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33664-2025</t>
        </is>
      </c>
      <c r="B6525" s="1" t="n">
        <v>45841.66825231481</v>
      </c>
      <c r="C6525" s="1" t="n">
        <v>46011</v>
      </c>
      <c r="D6525" t="inlineStr">
        <is>
          <t>VÄSTRA GÖTALANDS LÄN</t>
        </is>
      </c>
      <c r="E6525" t="inlineStr">
        <is>
          <t>VARA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33724-2025</t>
        </is>
      </c>
      <c r="B6526" s="1" t="n">
        <v>45841.92988425926</v>
      </c>
      <c r="C6526" s="1" t="n">
        <v>46011</v>
      </c>
      <c r="D6526" t="inlineStr">
        <is>
          <t>VÄSTRA GÖTALANDS LÄN</t>
        </is>
      </c>
      <c r="E6526" t="inlineStr">
        <is>
          <t>BORÅS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49691-2024</t>
        </is>
      </c>
      <c r="B6527" s="1" t="n">
        <v>45596.6846875</v>
      </c>
      <c r="C6527" s="1" t="n">
        <v>46011</v>
      </c>
      <c r="D6527" t="inlineStr">
        <is>
          <t>VÄSTRA GÖTALANDS LÄN</t>
        </is>
      </c>
      <c r="E6527" t="inlineStr">
        <is>
          <t>TANUM</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49737-2024</t>
        </is>
      </c>
      <c r="B6528" s="1" t="n">
        <v>45596.86387731481</v>
      </c>
      <c r="C6528" s="1" t="n">
        <v>46011</v>
      </c>
      <c r="D6528" t="inlineStr">
        <is>
          <t>VÄSTRA GÖTALANDS LÄN</t>
        </is>
      </c>
      <c r="E6528" t="inlineStr">
        <is>
          <t>VARA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27039-2022</t>
        </is>
      </c>
      <c r="B6529" s="1" t="n">
        <v>44740</v>
      </c>
      <c r="C6529" s="1" t="n">
        <v>46011</v>
      </c>
      <c r="D6529" t="inlineStr">
        <is>
          <t>VÄSTRA GÖTALANDS LÄN</t>
        </is>
      </c>
      <c r="E6529" t="inlineStr">
        <is>
          <t>BORÅS</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33541-2025</t>
        </is>
      </c>
      <c r="B6530" s="1" t="n">
        <v>45841</v>
      </c>
      <c r="C6530" s="1" t="n">
        <v>46011</v>
      </c>
      <c r="D6530" t="inlineStr">
        <is>
          <t>VÄSTRA GÖTALANDS LÄN</t>
        </is>
      </c>
      <c r="E6530" t="inlineStr">
        <is>
          <t>TÖREBODA</t>
        </is>
      </c>
      <c r="F6530" t="inlineStr">
        <is>
          <t>Övriga statliga verk och myndigheter</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33560-2025</t>
        </is>
      </c>
      <c r="B6531" s="1" t="n">
        <v>45841.57739583333</v>
      </c>
      <c r="C6531" s="1" t="n">
        <v>46011</v>
      </c>
      <c r="D6531" t="inlineStr">
        <is>
          <t>VÄSTRA GÖTALANDS LÄN</t>
        </is>
      </c>
      <c r="E6531" t="inlineStr">
        <is>
          <t>STRÖMSTAD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33309-2025</t>
        </is>
      </c>
      <c r="B6532" s="1" t="n">
        <v>45841.32841435185</v>
      </c>
      <c r="C6532" s="1" t="n">
        <v>46011</v>
      </c>
      <c r="D6532" t="inlineStr">
        <is>
          <t>VÄSTRA GÖTALANDS LÄN</t>
        </is>
      </c>
      <c r="E6532" t="inlineStr">
        <is>
          <t>TÖREBODA</t>
        </is>
      </c>
      <c r="F6532" t="inlineStr">
        <is>
          <t>Övriga statliga verk och myndigheter</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51157-2023</t>
        </is>
      </c>
      <c r="B6533" s="1" t="n">
        <v>45219</v>
      </c>
      <c r="C6533" s="1" t="n">
        <v>46011</v>
      </c>
      <c r="D6533" t="inlineStr">
        <is>
          <t>VÄSTRA GÖTALANDS LÄN</t>
        </is>
      </c>
      <c r="E6533" t="inlineStr">
        <is>
          <t>HÄRRYDA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46071-2025</t>
        </is>
      </c>
      <c r="B6534" s="1" t="n">
        <v>45924.49282407408</v>
      </c>
      <c r="C6534" s="1" t="n">
        <v>46011</v>
      </c>
      <c r="D6534" t="inlineStr">
        <is>
          <t>VÄSTRA GÖTALANDS LÄN</t>
        </is>
      </c>
      <c r="E6534" t="inlineStr">
        <is>
          <t>FALKÖPING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33396-2025</t>
        </is>
      </c>
      <c r="B6535" s="1" t="n">
        <v>45841.41972222222</v>
      </c>
      <c r="C6535" s="1" t="n">
        <v>46011</v>
      </c>
      <c r="D6535" t="inlineStr">
        <is>
          <t>VÄSTRA GÖTALANDS LÄN</t>
        </is>
      </c>
      <c r="E6535" t="inlineStr">
        <is>
          <t>TÖREBODA</t>
        </is>
      </c>
      <c r="F6535" t="inlineStr">
        <is>
          <t>Övriga statliga verk och myndigheter</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33400-2025</t>
        </is>
      </c>
      <c r="B6536" s="1" t="n">
        <v>45841.42353009259</v>
      </c>
      <c r="C6536" s="1" t="n">
        <v>46011</v>
      </c>
      <c r="D6536" t="inlineStr">
        <is>
          <t>VÄSTRA GÖTALANDS LÄN</t>
        </is>
      </c>
      <c r="E6536" t="inlineStr">
        <is>
          <t>MARIESTAD</t>
        </is>
      </c>
      <c r="F6536" t="inlineStr">
        <is>
          <t>Kyrkan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45853-2025</t>
        </is>
      </c>
      <c r="B6537" s="1" t="n">
        <v>45923.6297337963</v>
      </c>
      <c r="C6537" s="1" t="n">
        <v>46011</v>
      </c>
      <c r="D6537" t="inlineStr">
        <is>
          <t>VÄSTRA GÖTALANDS LÄN</t>
        </is>
      </c>
      <c r="E6537" t="inlineStr">
        <is>
          <t>VÅRGÅRDA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46036-2025</t>
        </is>
      </c>
      <c r="B6538" s="1" t="n">
        <v>45924.44726851852</v>
      </c>
      <c r="C6538" s="1" t="n">
        <v>46011</v>
      </c>
      <c r="D6538" t="inlineStr">
        <is>
          <t>VÄSTRA GÖTALANDS LÄN</t>
        </is>
      </c>
      <c r="E6538" t="inlineStr">
        <is>
          <t>MARK</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45982-2025</t>
        </is>
      </c>
      <c r="B6539" s="1" t="n">
        <v>45924.37861111111</v>
      </c>
      <c r="C6539" s="1" t="n">
        <v>46011</v>
      </c>
      <c r="D6539" t="inlineStr">
        <is>
          <t>VÄSTRA GÖTALANDS LÄN</t>
        </is>
      </c>
      <c r="E6539" t="inlineStr">
        <is>
          <t>MARK</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33864-2025</t>
        </is>
      </c>
      <c r="B6540" s="1" t="n">
        <v>45842.53192129629</v>
      </c>
      <c r="C6540" s="1" t="n">
        <v>46011</v>
      </c>
      <c r="D6540" t="inlineStr">
        <is>
          <t>VÄSTRA GÖTALANDS LÄN</t>
        </is>
      </c>
      <c r="E6540" t="inlineStr">
        <is>
          <t>TANUM</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45942-2025</t>
        </is>
      </c>
      <c r="B6541" s="1" t="n">
        <v>45924.31892361111</v>
      </c>
      <c r="C6541" s="1" t="n">
        <v>46011</v>
      </c>
      <c r="D6541" t="inlineStr">
        <is>
          <t>VÄSTRA GÖTALANDS LÄN</t>
        </is>
      </c>
      <c r="E6541" t="inlineStr">
        <is>
          <t>BENGTSFORS</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46097-2025</t>
        </is>
      </c>
      <c r="B6542" s="1" t="n">
        <v>45924.54122685185</v>
      </c>
      <c r="C6542" s="1" t="n">
        <v>46011</v>
      </c>
      <c r="D6542" t="inlineStr">
        <is>
          <t>VÄSTRA GÖTALANDS LÄN</t>
        </is>
      </c>
      <c r="E6542" t="inlineStr">
        <is>
          <t>LIDKÖPING</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33342-2025</t>
        </is>
      </c>
      <c r="B6543" s="1" t="n">
        <v>45841.36143518519</v>
      </c>
      <c r="C6543" s="1" t="n">
        <v>46011</v>
      </c>
      <c r="D6543" t="inlineStr">
        <is>
          <t>VÄSTRA GÖTALANDS LÄN</t>
        </is>
      </c>
      <c r="E6543" t="inlineStr">
        <is>
          <t>MELLERUD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33352-2025</t>
        </is>
      </c>
      <c r="B6544" s="1" t="n">
        <v>45841.37438657408</v>
      </c>
      <c r="C6544" s="1" t="n">
        <v>46011</v>
      </c>
      <c r="D6544" t="inlineStr">
        <is>
          <t>VÄSTRA GÖTALANDS LÄN</t>
        </is>
      </c>
      <c r="E6544" t="inlineStr">
        <is>
          <t>MARK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33356-2025</t>
        </is>
      </c>
      <c r="B6545" s="1" t="n">
        <v>45841.37721064815</v>
      </c>
      <c r="C6545" s="1" t="n">
        <v>46011</v>
      </c>
      <c r="D6545" t="inlineStr">
        <is>
          <t>VÄSTRA GÖTALANDS LÄN</t>
        </is>
      </c>
      <c r="E6545" t="inlineStr">
        <is>
          <t>MARK</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45665-2021</t>
        </is>
      </c>
      <c r="B6546" s="1" t="n">
        <v>44441.32771990741</v>
      </c>
      <c r="C6546" s="1" t="n">
        <v>46011</v>
      </c>
      <c r="D6546" t="inlineStr">
        <is>
          <t>VÄSTRA GÖTALANDS LÄN</t>
        </is>
      </c>
      <c r="E6546" t="inlineStr">
        <is>
          <t>TIBRO</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45637-2025</t>
        </is>
      </c>
      <c r="B6547" s="1" t="n">
        <v>45922.85560185185</v>
      </c>
      <c r="C6547" s="1" t="n">
        <v>46011</v>
      </c>
      <c r="D6547" t="inlineStr">
        <is>
          <t>VÄSTRA GÖTALANDS LÄN</t>
        </is>
      </c>
      <c r="E6547" t="inlineStr">
        <is>
          <t>ULRICEHAMN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45638-2025</t>
        </is>
      </c>
      <c r="B6548" s="1" t="n">
        <v>45922.85699074074</v>
      </c>
      <c r="C6548" s="1" t="n">
        <v>46011</v>
      </c>
      <c r="D6548" t="inlineStr">
        <is>
          <t>VÄSTRA GÖTALANDS LÄN</t>
        </is>
      </c>
      <c r="E6548" t="inlineStr">
        <is>
          <t>ULRICEHAMN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45757-2025</t>
        </is>
      </c>
      <c r="B6549" s="1" t="n">
        <v>45923.50554398148</v>
      </c>
      <c r="C6549" s="1" t="n">
        <v>46011</v>
      </c>
      <c r="D6549" t="inlineStr">
        <is>
          <t>VÄSTRA GÖTALANDS LÄN</t>
        </is>
      </c>
      <c r="E6549" t="inlineStr">
        <is>
          <t>TRANEMO</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11331-2023</t>
        </is>
      </c>
      <c r="B6550" s="1" t="n">
        <v>44993.25908564815</v>
      </c>
      <c r="C6550" s="1" t="n">
        <v>46011</v>
      </c>
      <c r="D6550" t="inlineStr">
        <is>
          <t>VÄSTRA GÖTALANDS LÄN</t>
        </is>
      </c>
      <c r="E6550" t="inlineStr">
        <is>
          <t>MARK</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57605-2022</t>
        </is>
      </c>
      <c r="B6551" s="1" t="n">
        <v>44897</v>
      </c>
      <c r="C6551" s="1" t="n">
        <v>46011</v>
      </c>
      <c r="D6551" t="inlineStr">
        <is>
          <t>VÄSTRA GÖTALANDS LÄN</t>
        </is>
      </c>
      <c r="E6551" t="inlineStr">
        <is>
          <t>MARK</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46203-2025</t>
        </is>
      </c>
      <c r="B6552" s="1" t="n">
        <v>45924.70355324074</v>
      </c>
      <c r="C6552" s="1" t="n">
        <v>46011</v>
      </c>
      <c r="D6552" t="inlineStr">
        <is>
          <t>VÄSTRA GÖTALANDS LÄN</t>
        </is>
      </c>
      <c r="E6552" t="inlineStr">
        <is>
          <t>SKARA</t>
        </is>
      </c>
      <c r="F6552" t="inlineStr">
        <is>
          <t>Kyrkan</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33745-2025</t>
        </is>
      </c>
      <c r="B6553" s="1" t="n">
        <v>45842.35321759259</v>
      </c>
      <c r="C6553" s="1" t="n">
        <v>46011</v>
      </c>
      <c r="D6553" t="inlineStr">
        <is>
          <t>VÄSTRA GÖTALANDS LÄN</t>
        </is>
      </c>
      <c r="E6553" t="inlineStr">
        <is>
          <t>TRANEMO</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12322-2023</t>
        </is>
      </c>
      <c r="B6554" s="1" t="n">
        <v>44999</v>
      </c>
      <c r="C6554" s="1" t="n">
        <v>46011</v>
      </c>
      <c r="D6554" t="inlineStr">
        <is>
          <t>VÄSTRA GÖTALANDS LÄN</t>
        </is>
      </c>
      <c r="E6554" t="inlineStr">
        <is>
          <t>ÅMÅL</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20258-2022</t>
        </is>
      </c>
      <c r="B6555" s="1" t="n">
        <v>44698</v>
      </c>
      <c r="C6555" s="1" t="n">
        <v>46011</v>
      </c>
      <c r="D6555" t="inlineStr">
        <is>
          <t>VÄSTRA GÖTALANDS LÄN</t>
        </is>
      </c>
      <c r="E6555" t="inlineStr">
        <is>
          <t>MUNKEDAL</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46211-2025</t>
        </is>
      </c>
      <c r="B6556" s="1" t="n">
        <v>45924.71409722222</v>
      </c>
      <c r="C6556" s="1" t="n">
        <v>46011</v>
      </c>
      <c r="D6556" t="inlineStr">
        <is>
          <t>VÄSTRA GÖTALANDS LÄN</t>
        </is>
      </c>
      <c r="E6556" t="inlineStr">
        <is>
          <t>SKARA</t>
        </is>
      </c>
      <c r="F6556" t="inlineStr">
        <is>
          <t>Kyrkan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46226-2025</t>
        </is>
      </c>
      <c r="B6557" s="1" t="n">
        <v>45924</v>
      </c>
      <c r="C6557" s="1" t="n">
        <v>46011</v>
      </c>
      <c r="D6557" t="inlineStr">
        <is>
          <t>VÄSTRA GÖTALANDS LÄN</t>
        </is>
      </c>
      <c r="E6557" t="inlineStr">
        <is>
          <t>ALE</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33365-2025</t>
        </is>
      </c>
      <c r="B6558" s="1" t="n">
        <v>45841.38503472223</v>
      </c>
      <c r="C6558" s="1" t="n">
        <v>46011</v>
      </c>
      <c r="D6558" t="inlineStr">
        <is>
          <t>VÄSTRA GÖTALANDS LÄN</t>
        </is>
      </c>
      <c r="E6558" t="inlineStr">
        <is>
          <t>MARK</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44653-2023</t>
        </is>
      </c>
      <c r="B6559" s="1" t="n">
        <v>45189</v>
      </c>
      <c r="C6559" s="1" t="n">
        <v>46011</v>
      </c>
      <c r="D6559" t="inlineStr">
        <is>
          <t>VÄSTRA GÖTALANDS LÄN</t>
        </is>
      </c>
      <c r="E6559" t="inlineStr">
        <is>
          <t>DALS-ED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33468-2025</t>
        </is>
      </c>
      <c r="B6560" s="1" t="n">
        <v>45841.48537037037</v>
      </c>
      <c r="C6560" s="1" t="n">
        <v>46011</v>
      </c>
      <c r="D6560" t="inlineStr">
        <is>
          <t>VÄSTRA GÖTALANDS LÄN</t>
        </is>
      </c>
      <c r="E6560" t="inlineStr">
        <is>
          <t>MARK</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45888-2025</t>
        </is>
      </c>
      <c r="B6561" s="1" t="n">
        <v>45923.66642361111</v>
      </c>
      <c r="C6561" s="1" t="n">
        <v>46011</v>
      </c>
      <c r="D6561" t="inlineStr">
        <is>
          <t>VÄSTRA GÖTALANDS LÄN</t>
        </is>
      </c>
      <c r="E6561" t="inlineStr">
        <is>
          <t>MARK</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33408-2025</t>
        </is>
      </c>
      <c r="B6562" s="1" t="n">
        <v>45841.43224537037</v>
      </c>
      <c r="C6562" s="1" t="n">
        <v>46011</v>
      </c>
      <c r="D6562" t="inlineStr">
        <is>
          <t>VÄSTRA GÖTALANDS LÄN</t>
        </is>
      </c>
      <c r="E6562" t="inlineStr">
        <is>
          <t>TÖREBODA</t>
        </is>
      </c>
      <c r="F6562" t="inlineStr">
        <is>
          <t>Övriga statliga verk och myndigheter</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45897-2025</t>
        </is>
      </c>
      <c r="B6563" s="1" t="n">
        <v>45923.67934027778</v>
      </c>
      <c r="C6563" s="1" t="n">
        <v>46011</v>
      </c>
      <c r="D6563" t="inlineStr">
        <is>
          <t>VÄSTRA GÖTALANDS LÄN</t>
        </is>
      </c>
      <c r="E6563" t="inlineStr">
        <is>
          <t>MARK</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45935-2025</t>
        </is>
      </c>
      <c r="B6564" s="1" t="n">
        <v>45923.90445601852</v>
      </c>
      <c r="C6564" s="1" t="n">
        <v>46011</v>
      </c>
      <c r="D6564" t="inlineStr">
        <is>
          <t>VÄSTRA GÖTALANDS LÄN</t>
        </is>
      </c>
      <c r="E6564" t="inlineStr">
        <is>
          <t>MELLERUD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45669-2025</t>
        </is>
      </c>
      <c r="B6565" s="1" t="n">
        <v>45923.35321759259</v>
      </c>
      <c r="C6565" s="1" t="n">
        <v>46011</v>
      </c>
      <c r="D6565" t="inlineStr">
        <is>
          <t>VÄSTRA GÖTALANDS LÄN</t>
        </is>
      </c>
      <c r="E6565" t="inlineStr">
        <is>
          <t>FÄRGELANDA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45751-2025</t>
        </is>
      </c>
      <c r="B6566" s="1" t="n">
        <v>45923.48826388889</v>
      </c>
      <c r="C6566" s="1" t="n">
        <v>46011</v>
      </c>
      <c r="D6566" t="inlineStr">
        <is>
          <t>VÄSTRA GÖTALANDS LÄN</t>
        </is>
      </c>
      <c r="E6566" t="inlineStr">
        <is>
          <t>ULRICEHAMN</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4053-2025</t>
        </is>
      </c>
      <c r="B6567" s="1" t="n">
        <v>45684.61913194445</v>
      </c>
      <c r="C6567" s="1" t="n">
        <v>46011</v>
      </c>
      <c r="D6567" t="inlineStr">
        <is>
          <t>VÄSTRA GÖTALANDS LÄN</t>
        </is>
      </c>
      <c r="E6567" t="inlineStr">
        <is>
          <t>MUNKEDAL</t>
        </is>
      </c>
      <c r="F6567" t="inlineStr">
        <is>
          <t>Kommuner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4057-2025</t>
        </is>
      </c>
      <c r="B6568" s="1" t="n">
        <v>45684.62246527777</v>
      </c>
      <c r="C6568" s="1" t="n">
        <v>46011</v>
      </c>
      <c r="D6568" t="inlineStr">
        <is>
          <t>VÄSTRA GÖTALANDS LÄN</t>
        </is>
      </c>
      <c r="E6568" t="inlineStr">
        <is>
          <t>TIDAHOLM</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46183-2025</t>
        </is>
      </c>
      <c r="B6569" s="1" t="n">
        <v>45924.65844907407</v>
      </c>
      <c r="C6569" s="1" t="n">
        <v>46011</v>
      </c>
      <c r="D6569" t="inlineStr">
        <is>
          <t>VÄSTRA GÖTALANDS LÄN</t>
        </is>
      </c>
      <c r="E6569" t="inlineStr">
        <is>
          <t>SKARA</t>
        </is>
      </c>
      <c r="F6569" t="inlineStr">
        <is>
          <t>Kyrkan</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43028-2023</t>
        </is>
      </c>
      <c r="B6570" s="1" t="n">
        <v>45182</v>
      </c>
      <c r="C6570" s="1" t="n">
        <v>46011</v>
      </c>
      <c r="D6570" t="inlineStr">
        <is>
          <t>VÄSTRA GÖTALANDS LÄN</t>
        </is>
      </c>
      <c r="E6570" t="inlineStr">
        <is>
          <t>LYSEKIL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33534-2025</t>
        </is>
      </c>
      <c r="B6571" s="1" t="n">
        <v>45841</v>
      </c>
      <c r="C6571" s="1" t="n">
        <v>46011</v>
      </c>
      <c r="D6571" t="inlineStr">
        <is>
          <t>VÄSTRA GÖTALANDS LÄN</t>
        </is>
      </c>
      <c r="E6571" t="inlineStr">
        <is>
          <t>TÖREBODA</t>
        </is>
      </c>
      <c r="F6571" t="inlineStr">
        <is>
          <t>Övriga statliga verk och myndigheter</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13936-2025</t>
        </is>
      </c>
      <c r="B6572" s="1" t="n">
        <v>45737.68090277778</v>
      </c>
      <c r="C6572" s="1" t="n">
        <v>46011</v>
      </c>
      <c r="D6572" t="inlineStr">
        <is>
          <t>VÄSTRA GÖTALANDS LÄN</t>
        </is>
      </c>
      <c r="E6572" t="inlineStr">
        <is>
          <t>SVENLJUNGA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45861-2025</t>
        </is>
      </c>
      <c r="B6573" s="1" t="n">
        <v>45923.64278935185</v>
      </c>
      <c r="C6573" s="1" t="n">
        <v>46011</v>
      </c>
      <c r="D6573" t="inlineStr">
        <is>
          <t>VÄSTRA GÖTALANDS LÄN</t>
        </is>
      </c>
      <c r="E6573" t="inlineStr">
        <is>
          <t>MELLERUD</t>
        </is>
      </c>
      <c r="G6573" t="n">
        <v>10.2</v>
      </c>
      <c r="H6573" t="n">
        <v>0</v>
      </c>
      <c r="I6573" t="n">
        <v>0</v>
      </c>
      <c r="J6573" t="n">
        <v>0</v>
      </c>
      <c r="K6573" t="n">
        <v>0</v>
      </c>
      <c r="L6573" t="n">
        <v>0</v>
      </c>
      <c r="M6573" t="n">
        <v>0</v>
      </c>
      <c r="N6573" t="n">
        <v>0</v>
      </c>
      <c r="O6573" t="n">
        <v>0</v>
      </c>
      <c r="P6573" t="n">
        <v>0</v>
      </c>
      <c r="Q6573" t="n">
        <v>0</v>
      </c>
      <c r="R6573" s="2" t="inlineStr"/>
    </row>
    <row r="6574" ht="15" customHeight="1">
      <c r="A6574" t="inlineStr">
        <is>
          <t>A 45636-2025</t>
        </is>
      </c>
      <c r="B6574" s="1" t="n">
        <v>45922.85353009259</v>
      </c>
      <c r="C6574" s="1" t="n">
        <v>46011</v>
      </c>
      <c r="D6574" t="inlineStr">
        <is>
          <t>VÄSTRA GÖTALANDS LÄN</t>
        </is>
      </c>
      <c r="E6574" t="inlineStr">
        <is>
          <t>HERRLJUNGA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13966-2025</t>
        </is>
      </c>
      <c r="B6575" s="1" t="n">
        <v>45738.35538194444</v>
      </c>
      <c r="C6575" s="1" t="n">
        <v>46011</v>
      </c>
      <c r="D6575" t="inlineStr">
        <is>
          <t>VÄSTRA GÖTALANDS LÄN</t>
        </is>
      </c>
      <c r="E6575" t="inlineStr">
        <is>
          <t>SVENLJUNGA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33444-2025</t>
        </is>
      </c>
      <c r="B6576" s="1" t="n">
        <v>45841.46166666667</v>
      </c>
      <c r="C6576" s="1" t="n">
        <v>46011</v>
      </c>
      <c r="D6576" t="inlineStr">
        <is>
          <t>VÄSTRA GÖTALANDS LÄN</t>
        </is>
      </c>
      <c r="E6576" t="inlineStr">
        <is>
          <t>MARK</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28065-2025</t>
        </is>
      </c>
      <c r="B6577" s="1" t="n">
        <v>45817</v>
      </c>
      <c r="C6577" s="1" t="n">
        <v>46011</v>
      </c>
      <c r="D6577" t="inlineStr">
        <is>
          <t>VÄSTRA GÖTALANDS LÄN</t>
        </is>
      </c>
      <c r="E6577" t="inlineStr">
        <is>
          <t>BORÅS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33295-2025</t>
        </is>
      </c>
      <c r="B6578" s="1" t="n">
        <v>45840.92070601852</v>
      </c>
      <c r="C6578" s="1" t="n">
        <v>46011</v>
      </c>
      <c r="D6578" t="inlineStr">
        <is>
          <t>VÄSTRA GÖTALANDS LÄN</t>
        </is>
      </c>
      <c r="E6578" t="inlineStr">
        <is>
          <t>ORUST</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33296-2025</t>
        </is>
      </c>
      <c r="B6579" s="1" t="n">
        <v>45840.92538194444</v>
      </c>
      <c r="C6579" s="1" t="n">
        <v>46011</v>
      </c>
      <c r="D6579" t="inlineStr">
        <is>
          <t>VÄSTRA GÖTALANDS LÄN</t>
        </is>
      </c>
      <c r="E6579" t="inlineStr">
        <is>
          <t>ORUST</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33299-2025</t>
        </is>
      </c>
      <c r="B6580" s="1" t="n">
        <v>45840.93229166666</v>
      </c>
      <c r="C6580" s="1" t="n">
        <v>46011</v>
      </c>
      <c r="D6580" t="inlineStr">
        <is>
          <t>VÄSTRA GÖTALANDS LÄN</t>
        </is>
      </c>
      <c r="E6580" t="inlineStr">
        <is>
          <t>ORUST</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45742-2025</t>
        </is>
      </c>
      <c r="B6581" s="1" t="n">
        <v>45923.46953703704</v>
      </c>
      <c r="C6581" s="1" t="n">
        <v>46011</v>
      </c>
      <c r="D6581" t="inlineStr">
        <is>
          <t>VÄSTRA GÖTALANDS LÄN</t>
        </is>
      </c>
      <c r="E6581" t="inlineStr">
        <is>
          <t>HJO</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45974-2025</t>
        </is>
      </c>
      <c r="B6582" s="1" t="n">
        <v>45924.36851851852</v>
      </c>
      <c r="C6582" s="1" t="n">
        <v>46011</v>
      </c>
      <c r="D6582" t="inlineStr">
        <is>
          <t>VÄSTRA GÖTALANDS LÄN</t>
        </is>
      </c>
      <c r="E6582" t="inlineStr">
        <is>
          <t>VARA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33488-2025</t>
        </is>
      </c>
      <c r="B6583" s="1" t="n">
        <v>45841.50565972222</v>
      </c>
      <c r="C6583" s="1" t="n">
        <v>46011</v>
      </c>
      <c r="D6583" t="inlineStr">
        <is>
          <t>VÄSTRA GÖTALANDS LÄN</t>
        </is>
      </c>
      <c r="E6583" t="inlineStr">
        <is>
          <t>BORÅS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33490-2025</t>
        </is>
      </c>
      <c r="B6584" s="1" t="n">
        <v>45841.50623842593</v>
      </c>
      <c r="C6584" s="1" t="n">
        <v>46011</v>
      </c>
      <c r="D6584" t="inlineStr">
        <is>
          <t>VÄSTRA GÖTALANDS LÄN</t>
        </is>
      </c>
      <c r="E6584" t="inlineStr">
        <is>
          <t>ALINGSÅS</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33506-2025</t>
        </is>
      </c>
      <c r="B6585" s="1" t="n">
        <v>45841.51304398148</v>
      </c>
      <c r="C6585" s="1" t="n">
        <v>46011</v>
      </c>
      <c r="D6585" t="inlineStr">
        <is>
          <t>VÄSTRA GÖTALANDS LÄN</t>
        </is>
      </c>
      <c r="E6585" t="inlineStr">
        <is>
          <t>TIDAHOLM</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7904-2025</t>
        </is>
      </c>
      <c r="B6586" s="1" t="n">
        <v>45707.32996527778</v>
      </c>
      <c r="C6586" s="1" t="n">
        <v>46011</v>
      </c>
      <c r="D6586" t="inlineStr">
        <is>
          <t>VÄSTRA GÖTALANDS LÄN</t>
        </is>
      </c>
      <c r="E6586" t="inlineStr">
        <is>
          <t>TIDAHOLM</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33517-2025</t>
        </is>
      </c>
      <c r="B6587" s="1" t="n">
        <v>45841</v>
      </c>
      <c r="C6587" s="1" t="n">
        <v>46011</v>
      </c>
      <c r="D6587" t="inlineStr">
        <is>
          <t>VÄSTRA GÖTALANDS LÄN</t>
        </is>
      </c>
      <c r="E6587" t="inlineStr">
        <is>
          <t>HERRLJUNGA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33531-2025</t>
        </is>
      </c>
      <c r="B6588" s="1" t="n">
        <v>45841.55440972222</v>
      </c>
      <c r="C6588" s="1" t="n">
        <v>46011</v>
      </c>
      <c r="D6588" t="inlineStr">
        <is>
          <t>VÄSTRA GÖTALANDS LÄN</t>
        </is>
      </c>
      <c r="E6588" t="inlineStr">
        <is>
          <t>MARK</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33555-2025</t>
        </is>
      </c>
      <c r="B6589" s="1" t="n">
        <v>45841.57423611111</v>
      </c>
      <c r="C6589" s="1" t="n">
        <v>46011</v>
      </c>
      <c r="D6589" t="inlineStr">
        <is>
          <t>VÄSTRA GÖTALANDS LÄN</t>
        </is>
      </c>
      <c r="E6589" t="inlineStr">
        <is>
          <t>STRÖMSTAD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33566-2025</t>
        </is>
      </c>
      <c r="B6590" s="1" t="n">
        <v>45841.58208333333</v>
      </c>
      <c r="C6590" s="1" t="n">
        <v>46011</v>
      </c>
      <c r="D6590" t="inlineStr">
        <is>
          <t>VÄSTRA GÖTALANDS LÄN</t>
        </is>
      </c>
      <c r="E6590" t="inlineStr">
        <is>
          <t>STRÖMSTAD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45635-2025</t>
        </is>
      </c>
      <c r="B6591" s="1" t="n">
        <v>45922.85178240741</v>
      </c>
      <c r="C6591" s="1" t="n">
        <v>46011</v>
      </c>
      <c r="D6591" t="inlineStr">
        <is>
          <t>VÄSTRA GÖTALANDS LÄN</t>
        </is>
      </c>
      <c r="E6591" t="inlineStr">
        <is>
          <t>HERRLJUNGA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45710-2025</t>
        </is>
      </c>
      <c r="B6592" s="1" t="n">
        <v>45923.4296875</v>
      </c>
      <c r="C6592" s="1" t="n">
        <v>46011</v>
      </c>
      <c r="D6592" t="inlineStr">
        <is>
          <t>VÄSTRA GÖTALANDS LÄN</t>
        </is>
      </c>
      <c r="E6592" t="inlineStr">
        <is>
          <t>STENUNGSUND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7971-2025</t>
        </is>
      </c>
      <c r="B6593" s="1" t="n">
        <v>45707</v>
      </c>
      <c r="C6593" s="1" t="n">
        <v>46011</v>
      </c>
      <c r="D6593" t="inlineStr">
        <is>
          <t>VÄSTRA GÖTALANDS LÄN</t>
        </is>
      </c>
      <c r="E6593" t="inlineStr">
        <is>
          <t>SKARA</t>
        </is>
      </c>
      <c r="G6593" t="n">
        <v>7.3</v>
      </c>
      <c r="H6593" t="n">
        <v>0</v>
      </c>
      <c r="I6593" t="n">
        <v>0</v>
      </c>
      <c r="J6593" t="n">
        <v>0</v>
      </c>
      <c r="K6593" t="n">
        <v>0</v>
      </c>
      <c r="L6593" t="n">
        <v>0</v>
      </c>
      <c r="M6593" t="n">
        <v>0</v>
      </c>
      <c r="N6593" t="n">
        <v>0</v>
      </c>
      <c r="O6593" t="n">
        <v>0</v>
      </c>
      <c r="P6593" t="n">
        <v>0</v>
      </c>
      <c r="Q6593" t="n">
        <v>0</v>
      </c>
      <c r="R6593" s="2" t="inlineStr"/>
    </row>
    <row r="6594" ht="15" customHeight="1">
      <c r="A6594" t="inlineStr">
        <is>
          <t>A 33840-2025</t>
        </is>
      </c>
      <c r="B6594" s="1" t="n">
        <v>45842.47947916666</v>
      </c>
      <c r="C6594" s="1" t="n">
        <v>46011</v>
      </c>
      <c r="D6594" t="inlineStr">
        <is>
          <t>VÄSTRA GÖTALANDS LÄN</t>
        </is>
      </c>
      <c r="E6594" t="inlineStr">
        <is>
          <t>TANUM</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45633-2025</t>
        </is>
      </c>
      <c r="B6595" s="1" t="n">
        <v>45922.85010416667</v>
      </c>
      <c r="C6595" s="1" t="n">
        <v>46011</v>
      </c>
      <c r="D6595" t="inlineStr">
        <is>
          <t>VÄSTRA GÖTALANDS LÄN</t>
        </is>
      </c>
      <c r="E6595" t="inlineStr">
        <is>
          <t>HERRLJUNGA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45656-2025</t>
        </is>
      </c>
      <c r="B6596" s="1" t="n">
        <v>45923.34297453704</v>
      </c>
      <c r="C6596" s="1" t="n">
        <v>46011</v>
      </c>
      <c r="D6596" t="inlineStr">
        <is>
          <t>VÄSTRA GÖTALANDS LÄN</t>
        </is>
      </c>
      <c r="E6596" t="inlineStr">
        <is>
          <t>TANUM</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33530-2025</t>
        </is>
      </c>
      <c r="B6597" s="1" t="n">
        <v>45841.55305555555</v>
      </c>
      <c r="C6597" s="1" t="n">
        <v>46011</v>
      </c>
      <c r="D6597" t="inlineStr">
        <is>
          <t>VÄSTRA GÖTALANDS LÄN</t>
        </is>
      </c>
      <c r="E6597" t="inlineStr">
        <is>
          <t>TÖREBODA</t>
        </is>
      </c>
      <c r="F6597" t="inlineStr">
        <is>
          <t>Övriga statliga verk och myndigheter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45712-2025</t>
        </is>
      </c>
      <c r="B6598" s="1" t="n">
        <v>45923.43152777778</v>
      </c>
      <c r="C6598" s="1" t="n">
        <v>46011</v>
      </c>
      <c r="D6598" t="inlineStr">
        <is>
          <t>VÄSTRA GÖTALANDS LÄN</t>
        </is>
      </c>
      <c r="E6598" t="inlineStr">
        <is>
          <t>VÄNERSBORG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33564-2025</t>
        </is>
      </c>
      <c r="B6599" s="1" t="n">
        <v>45841.57973379629</v>
      </c>
      <c r="C6599" s="1" t="n">
        <v>46011</v>
      </c>
      <c r="D6599" t="inlineStr">
        <is>
          <t>VÄSTRA GÖTALANDS LÄN</t>
        </is>
      </c>
      <c r="E6599" t="inlineStr">
        <is>
          <t>STRÖMSTAD</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33569-2025</t>
        </is>
      </c>
      <c r="B6600" s="1" t="n">
        <v>45841.58334490741</v>
      </c>
      <c r="C6600" s="1" t="n">
        <v>46011</v>
      </c>
      <c r="D6600" t="inlineStr">
        <is>
          <t>VÄSTRA GÖTALANDS LÄN</t>
        </is>
      </c>
      <c r="E6600" t="inlineStr">
        <is>
          <t>STRÖMSTAD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33586-2025</t>
        </is>
      </c>
      <c r="B6601" s="1" t="n">
        <v>45841.59465277778</v>
      </c>
      <c r="C6601" s="1" t="n">
        <v>46011</v>
      </c>
      <c r="D6601" t="inlineStr">
        <is>
          <t>VÄSTRA GÖTALANDS LÄN</t>
        </is>
      </c>
      <c r="E6601" t="inlineStr">
        <is>
          <t>STRÖMSTAD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33631-2025</t>
        </is>
      </c>
      <c r="B6602" s="1" t="n">
        <v>45841</v>
      </c>
      <c r="C6602" s="1" t="n">
        <v>46011</v>
      </c>
      <c r="D6602" t="inlineStr">
        <is>
          <t>VÄSTRA GÖTALANDS LÄN</t>
        </is>
      </c>
      <c r="E6602" t="inlineStr">
        <is>
          <t>ULRICEHAMN</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33658-2025</t>
        </is>
      </c>
      <c r="B6603" s="1" t="n">
        <v>45841</v>
      </c>
      <c r="C6603" s="1" t="n">
        <v>46011</v>
      </c>
      <c r="D6603" t="inlineStr">
        <is>
          <t>VÄSTRA GÖTALANDS LÄN</t>
        </is>
      </c>
      <c r="E6603" t="inlineStr">
        <is>
          <t>ULRICEHAMN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45736-2025</t>
        </is>
      </c>
      <c r="B6604" s="1" t="n">
        <v>45923.46587962963</v>
      </c>
      <c r="C6604" s="1" t="n">
        <v>46011</v>
      </c>
      <c r="D6604" t="inlineStr">
        <is>
          <t>VÄSTRA GÖTALANDS LÄN</t>
        </is>
      </c>
      <c r="E6604" t="inlineStr">
        <is>
          <t>HJO</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33472-2025</t>
        </is>
      </c>
      <c r="B6605" s="1" t="n">
        <v>45841.48960648148</v>
      </c>
      <c r="C6605" s="1" t="n">
        <v>46011</v>
      </c>
      <c r="D6605" t="inlineStr">
        <is>
          <t>VÄSTRA GÖTALANDS LÄN</t>
        </is>
      </c>
      <c r="E6605" t="inlineStr">
        <is>
          <t>UDDEVALLA</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33489-2025</t>
        </is>
      </c>
      <c r="B6606" s="1" t="n">
        <v>45841.50584490741</v>
      </c>
      <c r="C6606" s="1" t="n">
        <v>46011</v>
      </c>
      <c r="D6606" t="inlineStr">
        <is>
          <t>VÄSTRA GÖTALANDS LÄN</t>
        </is>
      </c>
      <c r="E6606" t="inlineStr">
        <is>
          <t>TÖREBODA</t>
        </is>
      </c>
      <c r="F6606" t="inlineStr">
        <is>
          <t>Övriga statliga verk och myndigheter</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33492-2025</t>
        </is>
      </c>
      <c r="B6607" s="1" t="n">
        <v>45841.50793981482</v>
      </c>
      <c r="C6607" s="1" t="n">
        <v>46011</v>
      </c>
      <c r="D6607" t="inlineStr">
        <is>
          <t>VÄSTRA GÖTALANDS LÄN</t>
        </is>
      </c>
      <c r="E6607" t="inlineStr">
        <is>
          <t>MARIESTAD</t>
        </is>
      </c>
      <c r="F6607" t="inlineStr">
        <is>
          <t>Kyrkan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33861-2025</t>
        </is>
      </c>
      <c r="B6608" s="1" t="n">
        <v>45842.52964120371</v>
      </c>
      <c r="C6608" s="1" t="n">
        <v>46011</v>
      </c>
      <c r="D6608" t="inlineStr">
        <is>
          <t>VÄSTRA GÖTALANDS LÄN</t>
        </is>
      </c>
      <c r="E6608" t="inlineStr">
        <is>
          <t>SKÖVDE</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33869-2025</t>
        </is>
      </c>
      <c r="B6609" s="1" t="n">
        <v>45842.54001157408</v>
      </c>
      <c r="C6609" s="1" t="n">
        <v>46011</v>
      </c>
      <c r="D6609" t="inlineStr">
        <is>
          <t>VÄSTRA GÖTALANDS LÄN</t>
        </is>
      </c>
      <c r="E6609" t="inlineStr">
        <is>
          <t>TANUM</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41035-2024</t>
        </is>
      </c>
      <c r="B6610" s="1" t="n">
        <v>45559.35798611111</v>
      </c>
      <c r="C6610" s="1" t="n">
        <v>46011</v>
      </c>
      <c r="D6610" t="inlineStr">
        <is>
          <t>VÄSTRA GÖTALANDS LÄN</t>
        </is>
      </c>
      <c r="E6610" t="inlineStr">
        <is>
          <t>SVENLJUNGA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46135-2025</t>
        </is>
      </c>
      <c r="B6611" s="1" t="n">
        <v>45924.59836805556</v>
      </c>
      <c r="C6611" s="1" t="n">
        <v>46011</v>
      </c>
      <c r="D6611" t="inlineStr">
        <is>
          <t>VÄSTRA GÖTALANDS LÄN</t>
        </is>
      </c>
      <c r="E6611" t="inlineStr">
        <is>
          <t>TÖREBODA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43837-2023</t>
        </is>
      </c>
      <c r="B6612" s="1" t="n">
        <v>45187</v>
      </c>
      <c r="C6612" s="1" t="n">
        <v>46011</v>
      </c>
      <c r="D6612" t="inlineStr">
        <is>
          <t>VÄSTRA GÖTALANDS LÄN</t>
        </is>
      </c>
      <c r="E6612" t="inlineStr">
        <is>
          <t>BORÅS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33424-2025</t>
        </is>
      </c>
      <c r="B6613" s="1" t="n">
        <v>45841.44478009259</v>
      </c>
      <c r="C6613" s="1" t="n">
        <v>46011</v>
      </c>
      <c r="D6613" t="inlineStr">
        <is>
          <t>VÄSTRA GÖTALANDS LÄN</t>
        </is>
      </c>
      <c r="E6613" t="inlineStr">
        <is>
          <t>TÖREBODA</t>
        </is>
      </c>
      <c r="F6613" t="inlineStr">
        <is>
          <t>Övriga statliga verk och myndigheter</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45950-2025</t>
        </is>
      </c>
      <c r="B6614" s="1" t="n">
        <v>45924.34196759259</v>
      </c>
      <c r="C6614" s="1" t="n">
        <v>46011</v>
      </c>
      <c r="D6614" t="inlineStr">
        <is>
          <t>VÄSTRA GÖTALANDS LÄN</t>
        </is>
      </c>
      <c r="E6614" t="inlineStr">
        <is>
          <t>VÄNERSBORG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33528-2025</t>
        </is>
      </c>
      <c r="B6615" s="1" t="n">
        <v>45841.55050925926</v>
      </c>
      <c r="C6615" s="1" t="n">
        <v>46011</v>
      </c>
      <c r="D6615" t="inlineStr">
        <is>
          <t>VÄSTRA GÖTALANDS LÄN</t>
        </is>
      </c>
      <c r="E6615" t="inlineStr">
        <is>
          <t>TÖREBODA</t>
        </is>
      </c>
      <c r="F6615" t="inlineStr">
        <is>
          <t>Övriga statliga verk och myndigheter</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33618-2025</t>
        </is>
      </c>
      <c r="B6616" s="1" t="n">
        <v>45841</v>
      </c>
      <c r="C6616" s="1" t="n">
        <v>46011</v>
      </c>
      <c r="D6616" t="inlineStr">
        <is>
          <t>VÄSTRA GÖTALANDS LÄN</t>
        </is>
      </c>
      <c r="E6616" t="inlineStr">
        <is>
          <t>ULRICEHAMN</t>
        </is>
      </c>
      <c r="G6616" t="n">
        <v>16.7</v>
      </c>
      <c r="H6616" t="n">
        <v>0</v>
      </c>
      <c r="I6616" t="n">
        <v>0</v>
      </c>
      <c r="J6616" t="n">
        <v>0</v>
      </c>
      <c r="K6616" t="n">
        <v>0</v>
      </c>
      <c r="L6616" t="n">
        <v>0</v>
      </c>
      <c r="M6616" t="n">
        <v>0</v>
      </c>
      <c r="N6616" t="n">
        <v>0</v>
      </c>
      <c r="O6616" t="n">
        <v>0</v>
      </c>
      <c r="P6616" t="n">
        <v>0</v>
      </c>
      <c r="Q6616" t="n">
        <v>0</v>
      </c>
      <c r="R6616" s="2" t="inlineStr"/>
    </row>
    <row r="6617" ht="15" customHeight="1">
      <c r="A6617" t="inlineStr">
        <is>
          <t>A 23610-2023</t>
        </is>
      </c>
      <c r="B6617" s="1" t="n">
        <v>45072</v>
      </c>
      <c r="C6617" s="1" t="n">
        <v>46011</v>
      </c>
      <c r="D6617" t="inlineStr">
        <is>
          <t>VÄSTRA GÖTALANDS LÄN</t>
        </is>
      </c>
      <c r="E6617" t="inlineStr">
        <is>
          <t>MUNKEDAL</t>
        </is>
      </c>
      <c r="F6617" t="inlineStr">
        <is>
          <t>Kommuner</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50274-2024</t>
        </is>
      </c>
      <c r="B6618" s="1" t="n">
        <v>45600.600625</v>
      </c>
      <c r="C6618" s="1" t="n">
        <v>46011</v>
      </c>
      <c r="D6618" t="inlineStr">
        <is>
          <t>VÄSTRA GÖTALANDS LÄN</t>
        </is>
      </c>
      <c r="E6618" t="inlineStr">
        <is>
          <t>UDDEVALLA</t>
        </is>
      </c>
      <c r="G6618" t="n">
        <v>20.1</v>
      </c>
      <c r="H6618" t="n">
        <v>0</v>
      </c>
      <c r="I6618" t="n">
        <v>0</v>
      </c>
      <c r="J6618" t="n">
        <v>0</v>
      </c>
      <c r="K6618" t="n">
        <v>0</v>
      </c>
      <c r="L6618" t="n">
        <v>0</v>
      </c>
      <c r="M6618" t="n">
        <v>0</v>
      </c>
      <c r="N6618" t="n">
        <v>0</v>
      </c>
      <c r="O6618" t="n">
        <v>0</v>
      </c>
      <c r="P6618" t="n">
        <v>0</v>
      </c>
      <c r="Q6618" t="n">
        <v>0</v>
      </c>
      <c r="R6618" s="2" t="inlineStr"/>
    </row>
    <row r="6619" ht="15" customHeight="1">
      <c r="A6619" t="inlineStr">
        <is>
          <t>A 26688-2022</t>
        </is>
      </c>
      <c r="B6619" s="1" t="n">
        <v>44739</v>
      </c>
      <c r="C6619" s="1" t="n">
        <v>46011</v>
      </c>
      <c r="D6619" t="inlineStr">
        <is>
          <t>VÄSTRA GÖTALANDS LÄN</t>
        </is>
      </c>
      <c r="E6619" t="inlineStr">
        <is>
          <t>MARIESTAD</t>
        </is>
      </c>
      <c r="F6619" t="inlineStr">
        <is>
          <t>Kommuner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46420-2025</t>
        </is>
      </c>
      <c r="B6620" s="1" t="n">
        <v>45925.59826388889</v>
      </c>
      <c r="C6620" s="1" t="n">
        <v>46011</v>
      </c>
      <c r="D6620" t="inlineStr">
        <is>
          <t>VÄSTRA GÖTALANDS LÄN</t>
        </is>
      </c>
      <c r="E6620" t="inlineStr">
        <is>
          <t>TANUM</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40043-2023</t>
        </is>
      </c>
      <c r="B6621" s="1" t="n">
        <v>45168.68554398148</v>
      </c>
      <c r="C6621" s="1" t="n">
        <v>46011</v>
      </c>
      <c r="D6621" t="inlineStr">
        <is>
          <t>VÄSTRA GÖTALANDS LÄN</t>
        </is>
      </c>
      <c r="E6621" t="inlineStr">
        <is>
          <t>TANUM</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40053-2023</t>
        </is>
      </c>
      <c r="B6622" s="1" t="n">
        <v>45168.72297453704</v>
      </c>
      <c r="C6622" s="1" t="n">
        <v>46011</v>
      </c>
      <c r="D6622" t="inlineStr">
        <is>
          <t>VÄSTRA GÖTALANDS LÄN</t>
        </is>
      </c>
      <c r="E6622" t="inlineStr">
        <is>
          <t>HÄRRYDA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26083-2023</t>
        </is>
      </c>
      <c r="B6623" s="1" t="n">
        <v>45091</v>
      </c>
      <c r="C6623" s="1" t="n">
        <v>46011</v>
      </c>
      <c r="D6623" t="inlineStr">
        <is>
          <t>VÄSTRA GÖTALANDS LÄN</t>
        </is>
      </c>
      <c r="E6623" t="inlineStr">
        <is>
          <t>ALE</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40774-2024</t>
        </is>
      </c>
      <c r="B6624" s="1" t="n">
        <v>45558.48636574074</v>
      </c>
      <c r="C6624" s="1" t="n">
        <v>46011</v>
      </c>
      <c r="D6624" t="inlineStr">
        <is>
          <t>VÄSTRA GÖTALANDS LÄN</t>
        </is>
      </c>
      <c r="E6624" t="inlineStr">
        <is>
          <t>FÄRGELANDA</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9590-2021</t>
        </is>
      </c>
      <c r="B6625" s="1" t="n">
        <v>44251</v>
      </c>
      <c r="C6625" s="1" t="n">
        <v>46011</v>
      </c>
      <c r="D6625" t="inlineStr">
        <is>
          <t>VÄSTRA GÖTALANDS LÄN</t>
        </is>
      </c>
      <c r="E6625" t="inlineStr">
        <is>
          <t>STRÖMSTAD</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33814-2025</t>
        </is>
      </c>
      <c r="B6626" s="1" t="n">
        <v>45842.45538194444</v>
      </c>
      <c r="C6626" s="1" t="n">
        <v>46011</v>
      </c>
      <c r="D6626" t="inlineStr">
        <is>
          <t>VÄSTRA GÖTALANDS LÄN</t>
        </is>
      </c>
      <c r="E6626" t="inlineStr">
        <is>
          <t>BORÅS</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33837-2025</t>
        </is>
      </c>
      <c r="B6627" s="1" t="n">
        <v>45842.47792824074</v>
      </c>
      <c r="C6627" s="1" t="n">
        <v>46011</v>
      </c>
      <c r="D6627" t="inlineStr">
        <is>
          <t>VÄSTRA GÖTALANDS LÄN</t>
        </is>
      </c>
      <c r="E6627" t="inlineStr">
        <is>
          <t>BORÅS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46339-2025</t>
        </is>
      </c>
      <c r="B6628" s="1" t="n">
        <v>45925</v>
      </c>
      <c r="C6628" s="1" t="n">
        <v>46011</v>
      </c>
      <c r="D6628" t="inlineStr">
        <is>
          <t>VÄSTRA GÖTALANDS LÄN</t>
        </is>
      </c>
      <c r="E6628" t="inlineStr">
        <is>
          <t>FALKÖPING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33312-2025</t>
        </is>
      </c>
      <c r="B6629" s="1" t="n">
        <v>45841.33291666667</v>
      </c>
      <c r="C6629" s="1" t="n">
        <v>46011</v>
      </c>
      <c r="D6629" t="inlineStr">
        <is>
          <t>VÄSTRA GÖTALANDS LÄN</t>
        </is>
      </c>
      <c r="E6629" t="inlineStr">
        <is>
          <t>MELLERUD</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33331-2025</t>
        </is>
      </c>
      <c r="B6630" s="1" t="n">
        <v>45841.35288194445</v>
      </c>
      <c r="C6630" s="1" t="n">
        <v>46011</v>
      </c>
      <c r="D6630" t="inlineStr">
        <is>
          <t>VÄSTRA GÖTALANDS LÄN</t>
        </is>
      </c>
      <c r="E6630" t="inlineStr">
        <is>
          <t>TÖREBODA</t>
        </is>
      </c>
      <c r="F6630" t="inlineStr">
        <is>
          <t>Övriga statliga verk och myndigheter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30674-2023</t>
        </is>
      </c>
      <c r="B6631" s="1" t="n">
        <v>45112</v>
      </c>
      <c r="C6631" s="1" t="n">
        <v>46011</v>
      </c>
      <c r="D6631" t="inlineStr">
        <is>
          <t>VÄSTRA GÖTALANDS LÄN</t>
        </is>
      </c>
      <c r="E6631" t="inlineStr">
        <is>
          <t>VÅRGÅRDA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30745-2023</t>
        </is>
      </c>
      <c r="B6632" s="1" t="n">
        <v>45112</v>
      </c>
      <c r="C6632" s="1" t="n">
        <v>46011</v>
      </c>
      <c r="D6632" t="inlineStr">
        <is>
          <t>VÄSTRA GÖTALANDS LÄN</t>
        </is>
      </c>
      <c r="E6632" t="inlineStr">
        <is>
          <t>BOLLEBYGD</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46487-2025</t>
        </is>
      </c>
      <c r="B6633" s="1" t="n">
        <v>45925.71373842593</v>
      </c>
      <c r="C6633" s="1" t="n">
        <v>46011</v>
      </c>
      <c r="D6633" t="inlineStr">
        <is>
          <t>VÄSTRA GÖTALANDS LÄN</t>
        </is>
      </c>
      <c r="E6633" t="inlineStr">
        <is>
          <t>HERRLJUNGA</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30801-2023</t>
        </is>
      </c>
      <c r="B6634" s="1" t="n">
        <v>45112.78192129629</v>
      </c>
      <c r="C6634" s="1" t="n">
        <v>46011</v>
      </c>
      <c r="D6634" t="inlineStr">
        <is>
          <t>VÄSTRA GÖTALANDS LÄN</t>
        </is>
      </c>
      <c r="E6634" t="inlineStr">
        <is>
          <t>BOLLEBYGD</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33874-2025</t>
        </is>
      </c>
      <c r="B6635" s="1" t="n">
        <v>45842.55113425926</v>
      </c>
      <c r="C6635" s="1" t="n">
        <v>46011</v>
      </c>
      <c r="D6635" t="inlineStr">
        <is>
          <t>VÄSTRA GÖTALANDS LÄN</t>
        </is>
      </c>
      <c r="E6635" t="inlineStr">
        <is>
          <t>TANUM</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10052-2021</t>
        </is>
      </c>
      <c r="B6636" s="1" t="n">
        <v>44256</v>
      </c>
      <c r="C6636" s="1" t="n">
        <v>46011</v>
      </c>
      <c r="D6636" t="inlineStr">
        <is>
          <t>VÄSTRA GÖTALANDS LÄN</t>
        </is>
      </c>
      <c r="E6636" t="inlineStr">
        <is>
          <t>LIDKÖPING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55984-2024</t>
        </is>
      </c>
      <c r="B6637" s="1" t="n">
        <v>45623</v>
      </c>
      <c r="C6637" s="1" t="n">
        <v>46011</v>
      </c>
      <c r="D6637" t="inlineStr">
        <is>
          <t>VÄSTRA GÖTALANDS LÄN</t>
        </is>
      </c>
      <c r="E6637" t="inlineStr">
        <is>
          <t>LIDKÖPING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33519-2025</t>
        </is>
      </c>
      <c r="B6638" s="1" t="n">
        <v>45841</v>
      </c>
      <c r="C6638" s="1" t="n">
        <v>46011</v>
      </c>
      <c r="D6638" t="inlineStr">
        <is>
          <t>VÄSTRA GÖTALANDS LÄN</t>
        </is>
      </c>
      <c r="E6638" t="inlineStr">
        <is>
          <t>HERRLJUNGA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56027-2024</t>
        </is>
      </c>
      <c r="B6639" s="1" t="n">
        <v>45624.30578703704</v>
      </c>
      <c r="C6639" s="1" t="n">
        <v>46011</v>
      </c>
      <c r="D6639" t="inlineStr">
        <is>
          <t>VÄSTRA GÖTALANDS LÄN</t>
        </is>
      </c>
      <c r="E6639" t="inlineStr">
        <is>
          <t>TRANEMO</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13955-2024</t>
        </is>
      </c>
      <c r="B6640" s="1" t="n">
        <v>45392.32388888889</v>
      </c>
      <c r="C6640" s="1" t="n">
        <v>46011</v>
      </c>
      <c r="D6640" t="inlineStr">
        <is>
          <t>VÄSTRA GÖTALANDS LÄN</t>
        </is>
      </c>
      <c r="E6640" t="inlineStr">
        <is>
          <t>BORÅS</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18920-2024</t>
        </is>
      </c>
      <c r="B6641" s="1" t="n">
        <v>45427.41087962963</v>
      </c>
      <c r="C6641" s="1" t="n">
        <v>46011</v>
      </c>
      <c r="D6641" t="inlineStr">
        <is>
          <t>VÄSTRA GÖTALANDS LÄN</t>
        </is>
      </c>
      <c r="E6641" t="inlineStr">
        <is>
          <t>ULRICEHAMN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32666-2025</t>
        </is>
      </c>
      <c r="B6642" s="1" t="n">
        <v>45838</v>
      </c>
      <c r="C6642" s="1" t="n">
        <v>46011</v>
      </c>
      <c r="D6642" t="inlineStr">
        <is>
          <t>VÄSTRA GÖTALANDS LÄN</t>
        </is>
      </c>
      <c r="E6642" t="inlineStr">
        <is>
          <t>VÄNERSBORG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50732-2024</t>
        </is>
      </c>
      <c r="B6643" s="1" t="n">
        <v>45602.38895833334</v>
      </c>
      <c r="C6643" s="1" t="n">
        <v>46011</v>
      </c>
      <c r="D6643" t="inlineStr">
        <is>
          <t>VÄSTRA GÖTALANDS LÄN</t>
        </is>
      </c>
      <c r="E6643" t="inlineStr">
        <is>
          <t>DALS-ED</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46532-2025</t>
        </is>
      </c>
      <c r="B6644" s="1" t="n">
        <v>45926.33767361111</v>
      </c>
      <c r="C6644" s="1" t="n">
        <v>46011</v>
      </c>
      <c r="D6644" t="inlineStr">
        <is>
          <t>VÄSTRA GÖTALANDS LÄN</t>
        </is>
      </c>
      <c r="E6644" t="inlineStr">
        <is>
          <t>ULRICEHAMN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12628-2021</t>
        </is>
      </c>
      <c r="B6645" s="1" t="n">
        <v>44270</v>
      </c>
      <c r="C6645" s="1" t="n">
        <v>46011</v>
      </c>
      <c r="D6645" t="inlineStr">
        <is>
          <t>VÄSTRA GÖTALANDS LÄN</t>
        </is>
      </c>
      <c r="E6645" t="inlineStr">
        <is>
          <t>ÅMÅL</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46304-2025</t>
        </is>
      </c>
      <c r="B6646" s="1" t="n">
        <v>45925</v>
      </c>
      <c r="C6646" s="1" t="n">
        <v>46011</v>
      </c>
      <c r="D6646" t="inlineStr">
        <is>
          <t>VÄSTRA GÖTALANDS LÄN</t>
        </is>
      </c>
      <c r="E6646" t="inlineStr">
        <is>
          <t>UDDEVALLA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46349-2025</t>
        </is>
      </c>
      <c r="B6647" s="1" t="n">
        <v>45925.48078703704</v>
      </c>
      <c r="C6647" s="1" t="n">
        <v>46011</v>
      </c>
      <c r="D6647" t="inlineStr">
        <is>
          <t>VÄSTRA GÖTALANDS LÄN</t>
        </is>
      </c>
      <c r="E6647" t="inlineStr">
        <is>
          <t>HÄRRYDA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12002-2021</t>
        </is>
      </c>
      <c r="B6648" s="1" t="n">
        <v>44266</v>
      </c>
      <c r="C6648" s="1" t="n">
        <v>46011</v>
      </c>
      <c r="D6648" t="inlineStr">
        <is>
          <t>VÄSTRA GÖTALANDS LÄN</t>
        </is>
      </c>
      <c r="E6648" t="inlineStr">
        <is>
          <t>FALKÖPING</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33580-2025</t>
        </is>
      </c>
      <c r="B6649" s="1" t="n">
        <v>45841.59407407408</v>
      </c>
      <c r="C6649" s="1" t="n">
        <v>46011</v>
      </c>
      <c r="D6649" t="inlineStr">
        <is>
          <t>VÄSTRA GÖTALANDS LÄN</t>
        </is>
      </c>
      <c r="E6649" t="inlineStr">
        <is>
          <t>STRÖMSTAD</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34024-2025</t>
        </is>
      </c>
      <c r="B6650" s="1" t="n">
        <v>45845.35418981482</v>
      </c>
      <c r="C6650" s="1" t="n">
        <v>46011</v>
      </c>
      <c r="D6650" t="inlineStr">
        <is>
          <t>VÄSTRA GÖTALANDS LÄN</t>
        </is>
      </c>
      <c r="E6650" t="inlineStr">
        <is>
          <t>MARK</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46596-2025</t>
        </is>
      </c>
      <c r="B6651" s="1" t="n">
        <v>45926.39857638889</v>
      </c>
      <c r="C6651" s="1" t="n">
        <v>46011</v>
      </c>
      <c r="D6651" t="inlineStr">
        <is>
          <t>VÄSTRA GÖTALANDS LÄN</t>
        </is>
      </c>
      <c r="E6651" t="inlineStr">
        <is>
          <t>LERUM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50178-2024</t>
        </is>
      </c>
      <c r="B6652" s="1" t="n">
        <v>45600</v>
      </c>
      <c r="C6652" s="1" t="n">
        <v>46011</v>
      </c>
      <c r="D6652" t="inlineStr">
        <is>
          <t>VÄSTRA GÖTALANDS LÄN</t>
        </is>
      </c>
      <c r="E6652" t="inlineStr">
        <is>
          <t>FALKÖPING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55607-2024</t>
        </is>
      </c>
      <c r="B6653" s="1" t="n">
        <v>45622.57908564815</v>
      </c>
      <c r="C6653" s="1" t="n">
        <v>46011</v>
      </c>
      <c r="D6653" t="inlineStr">
        <is>
          <t>VÄSTRA GÖTALANDS LÄN</t>
        </is>
      </c>
      <c r="E6653" t="inlineStr">
        <is>
          <t>HERRLJUNGA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8789-2021</t>
        </is>
      </c>
      <c r="B6654" s="1" t="n">
        <v>44246</v>
      </c>
      <c r="C6654" s="1" t="n">
        <v>46011</v>
      </c>
      <c r="D6654" t="inlineStr">
        <is>
          <t>VÄSTRA GÖTALANDS LÄN</t>
        </is>
      </c>
      <c r="E6654" t="inlineStr">
        <is>
          <t>LIDKÖPING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45176-2024</t>
        </is>
      </c>
      <c r="B6655" s="1" t="n">
        <v>45575.6594212963</v>
      </c>
      <c r="C6655" s="1" t="n">
        <v>46011</v>
      </c>
      <c r="D6655" t="inlineStr">
        <is>
          <t>VÄSTRA GÖTALANDS LÄN</t>
        </is>
      </c>
      <c r="E6655" t="inlineStr">
        <is>
          <t>TRANEMO</t>
        </is>
      </c>
      <c r="F6655" t="inlineStr">
        <is>
          <t>Sveaskog</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5630-2023</t>
        </is>
      </c>
      <c r="B6656" s="1" t="n">
        <v>44960</v>
      </c>
      <c r="C6656" s="1" t="n">
        <v>46011</v>
      </c>
      <c r="D6656" t="inlineStr">
        <is>
          <t>VÄSTRA GÖTALANDS LÄN</t>
        </is>
      </c>
      <c r="E6656" t="inlineStr">
        <is>
          <t>HÄRRYDA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46504-2025</t>
        </is>
      </c>
      <c r="B6657" s="1" t="n">
        <v>45925.87936342593</v>
      </c>
      <c r="C6657" s="1" t="n">
        <v>46011</v>
      </c>
      <c r="D6657" t="inlineStr">
        <is>
          <t>VÄSTRA GÖTALANDS LÄN</t>
        </is>
      </c>
      <c r="E6657" t="inlineStr">
        <is>
          <t>ULRICEHAMN</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10440-2025</t>
        </is>
      </c>
      <c r="B6658" s="1" t="n">
        <v>45720.68186342593</v>
      </c>
      <c r="C6658" s="1" t="n">
        <v>46011</v>
      </c>
      <c r="D6658" t="inlineStr">
        <is>
          <t>VÄSTRA GÖTALANDS LÄN</t>
        </is>
      </c>
      <c r="E6658" t="inlineStr">
        <is>
          <t>TRANEMO</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49865-2024</t>
        </is>
      </c>
      <c r="B6659" s="1" t="n">
        <v>45596</v>
      </c>
      <c r="C6659" s="1" t="n">
        <v>46011</v>
      </c>
      <c r="D6659" t="inlineStr">
        <is>
          <t>VÄSTRA GÖTALANDS LÄN</t>
        </is>
      </c>
      <c r="E6659" t="inlineStr">
        <is>
          <t>TIDAHOLM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46511-2025</t>
        </is>
      </c>
      <c r="B6660" s="1" t="n">
        <v>45925</v>
      </c>
      <c r="C6660" s="1" t="n">
        <v>46011</v>
      </c>
      <c r="D6660" t="inlineStr">
        <is>
          <t>VÄSTRA GÖTALANDS LÄN</t>
        </is>
      </c>
      <c r="E6660" t="inlineStr">
        <is>
          <t>MARK</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46512-2025</t>
        </is>
      </c>
      <c r="B6661" s="1" t="n">
        <v>45925</v>
      </c>
      <c r="C6661" s="1" t="n">
        <v>46011</v>
      </c>
      <c r="D6661" t="inlineStr">
        <is>
          <t>VÄSTRA GÖTALANDS LÄN</t>
        </is>
      </c>
      <c r="E6661" t="inlineStr">
        <is>
          <t>MARK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46529-2025</t>
        </is>
      </c>
      <c r="B6662" s="1" t="n">
        <v>45926.33585648148</v>
      </c>
      <c r="C6662" s="1" t="n">
        <v>46011</v>
      </c>
      <c r="D6662" t="inlineStr">
        <is>
          <t>VÄSTRA GÖTALANDS LÄN</t>
        </is>
      </c>
      <c r="E6662" t="inlineStr">
        <is>
          <t>TANUM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34161-2025</t>
        </is>
      </c>
      <c r="B6663" s="1" t="n">
        <v>45845.57840277778</v>
      </c>
      <c r="C6663" s="1" t="n">
        <v>46011</v>
      </c>
      <c r="D6663" t="inlineStr">
        <is>
          <t>VÄSTRA GÖTALANDS LÄN</t>
        </is>
      </c>
      <c r="E6663" t="inlineStr">
        <is>
          <t>GÖTENE</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46227-2025</t>
        </is>
      </c>
      <c r="B6664" s="1" t="n">
        <v>45924.90386574074</v>
      </c>
      <c r="C6664" s="1" t="n">
        <v>46011</v>
      </c>
      <c r="D6664" t="inlineStr">
        <is>
          <t>VÄSTRA GÖTALANDS LÄN</t>
        </is>
      </c>
      <c r="E6664" t="inlineStr">
        <is>
          <t>ALE</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46247-2025</t>
        </is>
      </c>
      <c r="B6665" s="1" t="n">
        <v>45925.33177083333</v>
      </c>
      <c r="C6665" s="1" t="n">
        <v>46011</v>
      </c>
      <c r="D6665" t="inlineStr">
        <is>
          <t>VÄSTRA GÖTALANDS LÄN</t>
        </is>
      </c>
      <c r="E6665" t="inlineStr">
        <is>
          <t>TIDAHOLM</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30980-2023</t>
        </is>
      </c>
      <c r="B6666" s="1" t="n">
        <v>45113.50747685185</v>
      </c>
      <c r="C6666" s="1" t="n">
        <v>46011</v>
      </c>
      <c r="D6666" t="inlineStr">
        <is>
          <t>VÄSTRA GÖTALANDS LÄN</t>
        </is>
      </c>
      <c r="E6666" t="inlineStr">
        <is>
          <t>ÅMÅL</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56331-2024</t>
        </is>
      </c>
      <c r="B6667" s="1" t="n">
        <v>45624.79915509259</v>
      </c>
      <c r="C6667" s="1" t="n">
        <v>46011</v>
      </c>
      <c r="D6667" t="inlineStr">
        <is>
          <t>VÄSTRA GÖTALANDS LÄN</t>
        </is>
      </c>
      <c r="E6667" t="inlineStr">
        <is>
          <t>BOLLEBYGD</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56341-2024</t>
        </is>
      </c>
      <c r="B6668" s="1" t="n">
        <v>45624.8387037037</v>
      </c>
      <c r="C6668" s="1" t="n">
        <v>46011</v>
      </c>
      <c r="D6668" t="inlineStr">
        <is>
          <t>VÄSTRA GÖTALANDS LÄN</t>
        </is>
      </c>
      <c r="E6668" t="inlineStr">
        <is>
          <t>DALS-ED</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46635-2025</t>
        </is>
      </c>
      <c r="B6669" s="1" t="n">
        <v>45926.46318287037</v>
      </c>
      <c r="C6669" s="1" t="n">
        <v>46011</v>
      </c>
      <c r="D6669" t="inlineStr">
        <is>
          <t>VÄSTRA GÖTALANDS LÄN</t>
        </is>
      </c>
      <c r="E6669" t="inlineStr">
        <is>
          <t>HERRLJUNGA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56419-2024</t>
        </is>
      </c>
      <c r="B6670" s="1" t="n">
        <v>45623</v>
      </c>
      <c r="C6670" s="1" t="n">
        <v>46011</v>
      </c>
      <c r="D6670" t="inlineStr">
        <is>
          <t>VÄSTRA GÖTALANDS LÄN</t>
        </is>
      </c>
      <c r="E6670" t="inlineStr">
        <is>
          <t>LIDKÖPING</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46668-2025</t>
        </is>
      </c>
      <c r="B6671" s="1" t="n">
        <v>45926.53071759259</v>
      </c>
      <c r="C6671" s="1" t="n">
        <v>46011</v>
      </c>
      <c r="D6671" t="inlineStr">
        <is>
          <t>VÄSTRA GÖTALANDS LÄN</t>
        </is>
      </c>
      <c r="E6671" t="inlineStr">
        <is>
          <t>MELLERUD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33830-2025</t>
        </is>
      </c>
      <c r="B6672" s="1" t="n">
        <v>45842</v>
      </c>
      <c r="C6672" s="1" t="n">
        <v>46011</v>
      </c>
      <c r="D6672" t="inlineStr">
        <is>
          <t>VÄSTRA GÖTALANDS LÄN</t>
        </is>
      </c>
      <c r="E6672" t="inlineStr">
        <is>
          <t>ULRICEHAMN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15024-2023</t>
        </is>
      </c>
      <c r="B6673" s="1" t="n">
        <v>45015.62293981481</v>
      </c>
      <c r="C6673" s="1" t="n">
        <v>46011</v>
      </c>
      <c r="D6673" t="inlineStr">
        <is>
          <t>VÄSTRA GÖTALANDS LÄN</t>
        </is>
      </c>
      <c r="E6673" t="inlineStr">
        <is>
          <t>BORÅS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771-2023</t>
        </is>
      </c>
      <c r="B6674" s="1" t="n">
        <v>44931</v>
      </c>
      <c r="C6674" s="1" t="n">
        <v>46011</v>
      </c>
      <c r="D6674" t="inlineStr">
        <is>
          <t>VÄSTRA GÖTALANDS LÄN</t>
        </is>
      </c>
      <c r="E6674" t="inlineStr">
        <is>
          <t>ORUST</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33996-2025</t>
        </is>
      </c>
      <c r="B6675" s="1" t="n">
        <v>45843.84158564815</v>
      </c>
      <c r="C6675" s="1" t="n">
        <v>46011</v>
      </c>
      <c r="D6675" t="inlineStr">
        <is>
          <t>VÄSTRA GÖTALANDS LÄN</t>
        </is>
      </c>
      <c r="E6675" t="inlineStr">
        <is>
          <t>UDDEVALLA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34332-2025</t>
        </is>
      </c>
      <c r="B6676" s="1" t="n">
        <v>45846.44829861111</v>
      </c>
      <c r="C6676" s="1" t="n">
        <v>46011</v>
      </c>
      <c r="D6676" t="inlineStr">
        <is>
          <t>VÄSTRA GÖTALANDS LÄN</t>
        </is>
      </c>
      <c r="E6676" t="inlineStr">
        <is>
          <t>LIDKÖPING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9157-2025</t>
        </is>
      </c>
      <c r="B6677" s="1" t="n">
        <v>45714.35208333333</v>
      </c>
      <c r="C6677" s="1" t="n">
        <v>46011</v>
      </c>
      <c r="D6677" t="inlineStr">
        <is>
          <t>VÄSTRA GÖTALANDS LÄN</t>
        </is>
      </c>
      <c r="E6677" t="inlineStr">
        <is>
          <t>BORÅS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39839-2024</t>
        </is>
      </c>
      <c r="B6678" s="1" t="n">
        <v>45553.42306712963</v>
      </c>
      <c r="C6678" s="1" t="n">
        <v>46011</v>
      </c>
      <c r="D6678" t="inlineStr">
        <is>
          <t>VÄSTRA GÖTALANDS LÄN</t>
        </is>
      </c>
      <c r="E6678" t="inlineStr">
        <is>
          <t>ULRICEHAMN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6991-2021</t>
        </is>
      </c>
      <c r="B6679" s="1" t="n">
        <v>44237</v>
      </c>
      <c r="C6679" s="1" t="n">
        <v>46011</v>
      </c>
      <c r="D6679" t="inlineStr">
        <is>
          <t>VÄSTRA GÖTALANDS LÄN</t>
        </is>
      </c>
      <c r="E6679" t="inlineStr">
        <is>
          <t>LIDKÖPING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39854-2024</t>
        </is>
      </c>
      <c r="B6680" s="1" t="n">
        <v>45553.43869212963</v>
      </c>
      <c r="C6680" s="1" t="n">
        <v>46011</v>
      </c>
      <c r="D6680" t="inlineStr">
        <is>
          <t>VÄSTRA GÖTALANDS LÄN</t>
        </is>
      </c>
      <c r="E6680" t="inlineStr">
        <is>
          <t>FALKÖPING</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34380-2025</t>
        </is>
      </c>
      <c r="B6681" s="1" t="n">
        <v>45846.5428587963</v>
      </c>
      <c r="C6681" s="1" t="n">
        <v>46011</v>
      </c>
      <c r="D6681" t="inlineStr">
        <is>
          <t>VÄSTRA GÖTALANDS LÄN</t>
        </is>
      </c>
      <c r="E6681" t="inlineStr">
        <is>
          <t>DALS-ED</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34393-2025</t>
        </is>
      </c>
      <c r="B6682" s="1" t="n">
        <v>45846.58597222222</v>
      </c>
      <c r="C6682" s="1" t="n">
        <v>46011</v>
      </c>
      <c r="D6682" t="inlineStr">
        <is>
          <t>VÄSTRA GÖTALANDS LÄN</t>
        </is>
      </c>
      <c r="E6682" t="inlineStr">
        <is>
          <t>BENGTSFORS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34402-2025</t>
        </is>
      </c>
      <c r="B6683" s="1" t="n">
        <v>45846.61403935185</v>
      </c>
      <c r="C6683" s="1" t="n">
        <v>46011</v>
      </c>
      <c r="D6683" t="inlineStr">
        <is>
          <t>VÄSTRA GÖTALANDS LÄN</t>
        </is>
      </c>
      <c r="E6683" t="inlineStr">
        <is>
          <t>TIBRO</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34410-2025</t>
        </is>
      </c>
      <c r="B6684" s="1" t="n">
        <v>45846.64479166667</v>
      </c>
      <c r="C6684" s="1" t="n">
        <v>46011</v>
      </c>
      <c r="D6684" t="inlineStr">
        <is>
          <t>VÄSTRA GÖTALANDS LÄN</t>
        </is>
      </c>
      <c r="E6684" t="inlineStr">
        <is>
          <t>SKÖVDE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34414-2025</t>
        </is>
      </c>
      <c r="B6685" s="1" t="n">
        <v>45846</v>
      </c>
      <c r="C6685" s="1" t="n">
        <v>46011</v>
      </c>
      <c r="D6685" t="inlineStr">
        <is>
          <t>VÄSTRA GÖTALANDS LÄN</t>
        </is>
      </c>
      <c r="E6685" t="inlineStr">
        <is>
          <t>SKÖVDE</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46381-2025</t>
        </is>
      </c>
      <c r="B6686" s="1" t="n">
        <v>45925.52607638889</v>
      </c>
      <c r="C6686" s="1" t="n">
        <v>46011</v>
      </c>
      <c r="D6686" t="inlineStr">
        <is>
          <t>VÄSTRA GÖTALANDS LÄN</t>
        </is>
      </c>
      <c r="E6686" t="inlineStr">
        <is>
          <t>FALKÖPING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20196-2024</t>
        </is>
      </c>
      <c r="B6687" s="1" t="n">
        <v>45434.63688657407</v>
      </c>
      <c r="C6687" s="1" t="n">
        <v>46011</v>
      </c>
      <c r="D6687" t="inlineStr">
        <is>
          <t>VÄSTRA GÖTALANDS LÄN</t>
        </is>
      </c>
      <c r="E6687" t="inlineStr">
        <is>
          <t>VARA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46434-2025</t>
        </is>
      </c>
      <c r="B6688" s="1" t="n">
        <v>45925.63402777778</v>
      </c>
      <c r="C6688" s="1" t="n">
        <v>46011</v>
      </c>
      <c r="D6688" t="inlineStr">
        <is>
          <t>VÄSTRA GÖTALANDS LÄN</t>
        </is>
      </c>
      <c r="E6688" t="inlineStr">
        <is>
          <t>DALS-ED</t>
        </is>
      </c>
      <c r="G6688" t="n">
        <v>11.6</v>
      </c>
      <c r="H6688" t="n">
        <v>0</v>
      </c>
      <c r="I6688" t="n">
        <v>0</v>
      </c>
      <c r="J6688" t="n">
        <v>0</v>
      </c>
      <c r="K6688" t="n">
        <v>0</v>
      </c>
      <c r="L6688" t="n">
        <v>0</v>
      </c>
      <c r="M6688" t="n">
        <v>0</v>
      </c>
      <c r="N6688" t="n">
        <v>0</v>
      </c>
      <c r="O6688" t="n">
        <v>0</v>
      </c>
      <c r="P6688" t="n">
        <v>0</v>
      </c>
      <c r="Q6688" t="n">
        <v>0</v>
      </c>
      <c r="R6688" s="2" t="inlineStr"/>
    </row>
    <row r="6689" ht="15" customHeight="1">
      <c r="A6689" t="inlineStr">
        <is>
          <t>A 34282-2025</t>
        </is>
      </c>
      <c r="B6689" s="1" t="n">
        <v>45846.31435185186</v>
      </c>
      <c r="C6689" s="1" t="n">
        <v>46011</v>
      </c>
      <c r="D6689" t="inlineStr">
        <is>
          <t>VÄSTRA GÖTALANDS LÄN</t>
        </is>
      </c>
      <c r="E6689" t="inlineStr">
        <is>
          <t>ULRICEHAMN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46233-2025</t>
        </is>
      </c>
      <c r="B6690" s="1" t="n">
        <v>45925.29270833333</v>
      </c>
      <c r="C6690" s="1" t="n">
        <v>46011</v>
      </c>
      <c r="D6690" t="inlineStr">
        <is>
          <t>VÄSTRA GÖTALANDS LÄN</t>
        </is>
      </c>
      <c r="E6690" t="inlineStr">
        <is>
          <t>VÅRGÅRDA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41156-2024</t>
        </is>
      </c>
      <c r="B6691" s="1" t="n">
        <v>45559.47763888889</v>
      </c>
      <c r="C6691" s="1" t="n">
        <v>46011</v>
      </c>
      <c r="D6691" t="inlineStr">
        <is>
          <t>VÄSTRA GÖTALANDS LÄN</t>
        </is>
      </c>
      <c r="E6691" t="inlineStr">
        <is>
          <t>UDDEVALLA</t>
        </is>
      </c>
      <c r="G6691" t="n">
        <v>9.4</v>
      </c>
      <c r="H6691" t="n">
        <v>0</v>
      </c>
      <c r="I6691" t="n">
        <v>0</v>
      </c>
      <c r="J6691" t="n">
        <v>0</v>
      </c>
      <c r="K6691" t="n">
        <v>0</v>
      </c>
      <c r="L6691" t="n">
        <v>0</v>
      </c>
      <c r="M6691" t="n">
        <v>0</v>
      </c>
      <c r="N6691" t="n">
        <v>0</v>
      </c>
      <c r="O6691" t="n">
        <v>0</v>
      </c>
      <c r="P6691" t="n">
        <v>0</v>
      </c>
      <c r="Q6691" t="n">
        <v>0</v>
      </c>
      <c r="R6691" s="2" t="inlineStr"/>
    </row>
    <row r="6692" ht="15" customHeight="1">
      <c r="A6692" t="inlineStr">
        <is>
          <t>A 34026-2025</t>
        </is>
      </c>
      <c r="B6692" s="1" t="n">
        <v>45845.35856481481</v>
      </c>
      <c r="C6692" s="1" t="n">
        <v>46011</v>
      </c>
      <c r="D6692" t="inlineStr">
        <is>
          <t>VÄSTRA GÖTALANDS LÄN</t>
        </is>
      </c>
      <c r="E6692" t="inlineStr">
        <is>
          <t>DALS-ED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34232-2025</t>
        </is>
      </c>
      <c r="B6693" s="1" t="n">
        <v>45845.65972222222</v>
      </c>
      <c r="C6693" s="1" t="n">
        <v>46011</v>
      </c>
      <c r="D6693" t="inlineStr">
        <is>
          <t>VÄSTRA GÖTALANDS LÄN</t>
        </is>
      </c>
      <c r="E6693" t="inlineStr">
        <is>
          <t>ULRICEHAMN</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33967-2025</t>
        </is>
      </c>
      <c r="B6694" s="1" t="n">
        <v>45842.81519675926</v>
      </c>
      <c r="C6694" s="1" t="n">
        <v>46011</v>
      </c>
      <c r="D6694" t="inlineStr">
        <is>
          <t>VÄSTRA GÖTALANDS LÄN</t>
        </is>
      </c>
      <c r="E6694" t="inlineStr">
        <is>
          <t>DALS-ED</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56849-2022</t>
        </is>
      </c>
      <c r="B6695" s="1" t="n">
        <v>44894.49025462963</v>
      </c>
      <c r="C6695" s="1" t="n">
        <v>46011</v>
      </c>
      <c r="D6695" t="inlineStr">
        <is>
          <t>VÄSTRA GÖTALANDS LÄN</t>
        </is>
      </c>
      <c r="E6695" t="inlineStr">
        <is>
          <t>SKARA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46395-2025</t>
        </is>
      </c>
      <c r="B6696" s="1" t="n">
        <v>45925.54702546296</v>
      </c>
      <c r="C6696" s="1" t="n">
        <v>46011</v>
      </c>
      <c r="D6696" t="inlineStr">
        <is>
          <t>VÄSTRA GÖTALANDS LÄN</t>
        </is>
      </c>
      <c r="E6696" t="inlineStr">
        <is>
          <t>ULRICEHAMN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46396-2025</t>
        </is>
      </c>
      <c r="B6697" s="1" t="n">
        <v>45925.54865740741</v>
      </c>
      <c r="C6697" s="1" t="n">
        <v>46011</v>
      </c>
      <c r="D6697" t="inlineStr">
        <is>
          <t>VÄSTRA GÖTALANDS LÄN</t>
        </is>
      </c>
      <c r="E6697" t="inlineStr">
        <is>
          <t>ULRICEHAMN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46440-2025</t>
        </is>
      </c>
      <c r="B6698" s="1" t="n">
        <v>45925.64233796296</v>
      </c>
      <c r="C6698" s="1" t="n">
        <v>46011</v>
      </c>
      <c r="D6698" t="inlineStr">
        <is>
          <t>VÄSTRA GÖTALANDS LÄN</t>
        </is>
      </c>
      <c r="E6698" t="inlineStr">
        <is>
          <t>GRÄSTORP</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60382-2021</t>
        </is>
      </c>
      <c r="B6699" s="1" t="n">
        <v>44496.36440972222</v>
      </c>
      <c r="C6699" s="1" t="n">
        <v>46011</v>
      </c>
      <c r="D6699" t="inlineStr">
        <is>
          <t>VÄSTRA GÖTALANDS LÄN</t>
        </is>
      </c>
      <c r="E6699" t="inlineStr">
        <is>
          <t>ÅMÅL</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46531-2025</t>
        </is>
      </c>
      <c r="B6700" s="1" t="n">
        <v>45926.3371412037</v>
      </c>
      <c r="C6700" s="1" t="n">
        <v>46011</v>
      </c>
      <c r="D6700" t="inlineStr">
        <is>
          <t>VÄSTRA GÖTALANDS LÄN</t>
        </is>
      </c>
      <c r="E6700" t="inlineStr">
        <is>
          <t>TANUM</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34198-2025</t>
        </is>
      </c>
      <c r="B6701" s="1" t="n">
        <v>45845.63146990741</v>
      </c>
      <c r="C6701" s="1" t="n">
        <v>46011</v>
      </c>
      <c r="D6701" t="inlineStr">
        <is>
          <t>VÄSTRA GÖTALANDS LÄN</t>
        </is>
      </c>
      <c r="E6701" t="inlineStr">
        <is>
          <t>FALKÖPING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34394-2025</t>
        </is>
      </c>
      <c r="B6702" s="1" t="n">
        <v>45846.58854166666</v>
      </c>
      <c r="C6702" s="1" t="n">
        <v>46011</v>
      </c>
      <c r="D6702" t="inlineStr">
        <is>
          <t>VÄSTRA GÖTALANDS LÄN</t>
        </is>
      </c>
      <c r="E6702" t="inlineStr">
        <is>
          <t>TJÖRN</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55897-2024</t>
        </is>
      </c>
      <c r="B6703" s="1" t="n">
        <v>45622</v>
      </c>
      <c r="C6703" s="1" t="n">
        <v>46011</v>
      </c>
      <c r="D6703" t="inlineStr">
        <is>
          <t>VÄSTRA GÖTALANDS LÄN</t>
        </is>
      </c>
      <c r="E6703" t="inlineStr">
        <is>
          <t>LIDKÖPING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46366-2025</t>
        </is>
      </c>
      <c r="B6704" s="1" t="n">
        <v>45925.50118055556</v>
      </c>
      <c r="C6704" s="1" t="n">
        <v>46011</v>
      </c>
      <c r="D6704" t="inlineStr">
        <is>
          <t>VÄSTRA GÖTALANDS LÄN</t>
        </is>
      </c>
      <c r="E6704" t="inlineStr">
        <is>
          <t>BORÅS</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46378-2025</t>
        </is>
      </c>
      <c r="B6705" s="1" t="n">
        <v>45925.52497685186</v>
      </c>
      <c r="C6705" s="1" t="n">
        <v>46011</v>
      </c>
      <c r="D6705" t="inlineStr">
        <is>
          <t>VÄSTRA GÖTALANDS LÄN</t>
        </is>
      </c>
      <c r="E6705" t="inlineStr">
        <is>
          <t>FALKÖPING</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64737-2023</t>
        </is>
      </c>
      <c r="B6706" s="1" t="n">
        <v>45281</v>
      </c>
      <c r="C6706" s="1" t="n">
        <v>46011</v>
      </c>
      <c r="D6706" t="inlineStr">
        <is>
          <t>VÄSTRA GÖTALANDS LÄN</t>
        </is>
      </c>
      <c r="E6706" t="inlineStr">
        <is>
          <t>MARK</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34379-2025</t>
        </is>
      </c>
      <c r="B6707" s="1" t="n">
        <v>45846.54078703704</v>
      </c>
      <c r="C6707" s="1" t="n">
        <v>46011</v>
      </c>
      <c r="D6707" t="inlineStr">
        <is>
          <t>VÄSTRA GÖTALANDS LÄN</t>
        </is>
      </c>
      <c r="E6707" t="inlineStr">
        <is>
          <t>FÄRGELANDA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49544-2024</t>
        </is>
      </c>
      <c r="B6708" s="1" t="n">
        <v>45596.44608796296</v>
      </c>
      <c r="C6708" s="1" t="n">
        <v>46011</v>
      </c>
      <c r="D6708" t="inlineStr">
        <is>
          <t>VÄSTRA GÖTALANDS LÄN</t>
        </is>
      </c>
      <c r="E6708" t="inlineStr">
        <is>
          <t>FALKÖPING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46234-2025</t>
        </is>
      </c>
      <c r="B6709" s="1" t="n">
        <v>45925.29591435185</v>
      </c>
      <c r="C6709" s="1" t="n">
        <v>46011</v>
      </c>
      <c r="D6709" t="inlineStr">
        <is>
          <t>VÄSTRA GÖTALANDS LÄN</t>
        </is>
      </c>
      <c r="E6709" t="inlineStr">
        <is>
          <t>VÅRGÅRDA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46237-2025</t>
        </is>
      </c>
      <c r="B6710" s="1" t="n">
        <v>45925.30956018518</v>
      </c>
      <c r="C6710" s="1" t="n">
        <v>46011</v>
      </c>
      <c r="D6710" t="inlineStr">
        <is>
          <t>VÄSTRA GÖTALANDS LÄN</t>
        </is>
      </c>
      <c r="E6710" t="inlineStr">
        <is>
          <t>VÅRGÅRDA</t>
        </is>
      </c>
      <c r="G6710" t="n">
        <v>14.2</v>
      </c>
      <c r="H6710" t="n">
        <v>0</v>
      </c>
      <c r="I6710" t="n">
        <v>0</v>
      </c>
      <c r="J6710" t="n">
        <v>0</v>
      </c>
      <c r="K6710" t="n">
        <v>0</v>
      </c>
      <c r="L6710" t="n">
        <v>0</v>
      </c>
      <c r="M6710" t="n">
        <v>0</v>
      </c>
      <c r="N6710" t="n">
        <v>0</v>
      </c>
      <c r="O6710" t="n">
        <v>0</v>
      </c>
      <c r="P6710" t="n">
        <v>0</v>
      </c>
      <c r="Q6710" t="n">
        <v>0</v>
      </c>
      <c r="R6710" s="2" t="inlineStr"/>
    </row>
    <row r="6711" ht="15" customHeight="1">
      <c r="A6711" t="inlineStr">
        <is>
          <t>A 46240-2025</t>
        </is>
      </c>
      <c r="B6711" s="1" t="n">
        <v>45925.3152662037</v>
      </c>
      <c r="C6711" s="1" t="n">
        <v>46011</v>
      </c>
      <c r="D6711" t="inlineStr">
        <is>
          <t>VÄSTRA GÖTALANDS LÄN</t>
        </is>
      </c>
      <c r="E6711" t="inlineStr">
        <is>
          <t>DALS-ED</t>
        </is>
      </c>
      <c r="G6711" t="n">
        <v>19.8</v>
      </c>
      <c r="H6711" t="n">
        <v>0</v>
      </c>
      <c r="I6711" t="n">
        <v>0</v>
      </c>
      <c r="J6711" t="n">
        <v>0</v>
      </c>
      <c r="K6711" t="n">
        <v>0</v>
      </c>
      <c r="L6711" t="n">
        <v>0</v>
      </c>
      <c r="M6711" t="n">
        <v>0</v>
      </c>
      <c r="N6711" t="n">
        <v>0</v>
      </c>
      <c r="O6711" t="n">
        <v>0</v>
      </c>
      <c r="P6711" t="n">
        <v>0</v>
      </c>
      <c r="Q6711" t="n">
        <v>0</v>
      </c>
      <c r="R6711" s="2" t="inlineStr"/>
    </row>
    <row r="6712" ht="15" customHeight="1">
      <c r="A6712" t="inlineStr">
        <is>
          <t>A 34391-2025</t>
        </is>
      </c>
      <c r="B6712" s="1" t="n">
        <v>45846.58006944445</v>
      </c>
      <c r="C6712" s="1" t="n">
        <v>46011</v>
      </c>
      <c r="D6712" t="inlineStr">
        <is>
          <t>VÄSTRA GÖTALANDS LÄN</t>
        </is>
      </c>
      <c r="E6712" t="inlineStr">
        <is>
          <t>TIDAHOLM</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46076-2021</t>
        </is>
      </c>
      <c r="B6713" s="1" t="n">
        <v>44442</v>
      </c>
      <c r="C6713" s="1" t="n">
        <v>46011</v>
      </c>
      <c r="D6713" t="inlineStr">
        <is>
          <t>VÄSTRA GÖTALANDS LÄN</t>
        </is>
      </c>
      <c r="E6713" t="inlineStr">
        <is>
          <t>MELLERUD</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34411-2025</t>
        </is>
      </c>
      <c r="B6714" s="1" t="n">
        <v>45846.64509259259</v>
      </c>
      <c r="C6714" s="1" t="n">
        <v>46011</v>
      </c>
      <c r="D6714" t="inlineStr">
        <is>
          <t>VÄSTRA GÖTALANDS LÄN</t>
        </is>
      </c>
      <c r="E6714" t="inlineStr">
        <is>
          <t>TIBRO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34412-2025</t>
        </is>
      </c>
      <c r="B6715" s="1" t="n">
        <v>45846.64696759259</v>
      </c>
      <c r="C6715" s="1" t="n">
        <v>46011</v>
      </c>
      <c r="D6715" t="inlineStr">
        <is>
          <t>VÄSTRA GÖTALANDS LÄN</t>
        </is>
      </c>
      <c r="E6715" t="inlineStr">
        <is>
          <t>SKÖVDE</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50349-2024</t>
        </is>
      </c>
      <c r="B6716" s="1" t="n">
        <v>45600.81916666667</v>
      </c>
      <c r="C6716" s="1" t="n">
        <v>46011</v>
      </c>
      <c r="D6716" t="inlineStr">
        <is>
          <t>VÄSTRA GÖTALANDS LÄN</t>
        </is>
      </c>
      <c r="E6716" t="inlineStr">
        <is>
          <t>LILLA EDET</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34080-2025</t>
        </is>
      </c>
      <c r="B6717" s="1" t="n">
        <v>45845.45950231481</v>
      </c>
      <c r="C6717" s="1" t="n">
        <v>46011</v>
      </c>
      <c r="D6717" t="inlineStr">
        <is>
          <t>VÄSTRA GÖTALANDS LÄN</t>
        </is>
      </c>
      <c r="E6717" t="inlineStr">
        <is>
          <t>MUNKEDAL</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34083-2025</t>
        </is>
      </c>
      <c r="B6718" s="1" t="n">
        <v>45845.46209490741</v>
      </c>
      <c r="C6718" s="1" t="n">
        <v>46011</v>
      </c>
      <c r="D6718" t="inlineStr">
        <is>
          <t>VÄSTRA GÖTALANDS LÄN</t>
        </is>
      </c>
      <c r="E6718" t="inlineStr">
        <is>
          <t>MUNKEDAL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44251-2024</t>
        </is>
      </c>
      <c r="B6719" s="1" t="n">
        <v>45573.44546296296</v>
      </c>
      <c r="C6719" s="1" t="n">
        <v>46011</v>
      </c>
      <c r="D6719" t="inlineStr">
        <is>
          <t>VÄSTRA GÖTALANDS LÄN</t>
        </is>
      </c>
      <c r="E6719" t="inlineStr">
        <is>
          <t>SVENLJUNGA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46459-2025</t>
        </is>
      </c>
      <c r="B6720" s="1" t="n">
        <v>45925.66380787037</v>
      </c>
      <c r="C6720" s="1" t="n">
        <v>46011</v>
      </c>
      <c r="D6720" t="inlineStr">
        <is>
          <t>VÄSTRA GÖTALANDS LÄN</t>
        </is>
      </c>
      <c r="E6720" t="inlineStr">
        <is>
          <t>MARK</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31239-2025</t>
        </is>
      </c>
      <c r="B6721" s="1" t="n">
        <v>45832.85302083333</v>
      </c>
      <c r="C6721" s="1" t="n">
        <v>46011</v>
      </c>
      <c r="D6721" t="inlineStr">
        <is>
          <t>VÄSTRA GÖTALANDS LÄN</t>
        </is>
      </c>
      <c r="E6721" t="inlineStr">
        <is>
          <t>MARIESTAD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26356-2025</t>
        </is>
      </c>
      <c r="B6722" s="1" t="n">
        <v>45805.8687037037</v>
      </c>
      <c r="C6722" s="1" t="n">
        <v>46011</v>
      </c>
      <c r="D6722" t="inlineStr">
        <is>
          <t>VÄSTRA GÖTALANDS LÄN</t>
        </is>
      </c>
      <c r="E6722" t="inlineStr">
        <is>
          <t>LIDKÖPING</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16001-2022</t>
        </is>
      </c>
      <c r="B6723" s="1" t="n">
        <v>44665.37211805556</v>
      </c>
      <c r="C6723" s="1" t="n">
        <v>46011</v>
      </c>
      <c r="D6723" t="inlineStr">
        <is>
          <t>VÄSTRA GÖTALANDS LÄN</t>
        </is>
      </c>
      <c r="E6723" t="inlineStr">
        <is>
          <t>TRANEMO</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58914-2021</t>
        </is>
      </c>
      <c r="B6724" s="1" t="n">
        <v>44489.71137731482</v>
      </c>
      <c r="C6724" s="1" t="n">
        <v>46011</v>
      </c>
      <c r="D6724" t="inlineStr">
        <is>
          <t>VÄSTRA GÖTALANDS LÄN</t>
        </is>
      </c>
      <c r="E6724" t="inlineStr">
        <is>
          <t>GRÄSTORP</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34081-2025</t>
        </is>
      </c>
      <c r="B6725" s="1" t="n">
        <v>45845.45954861111</v>
      </c>
      <c r="C6725" s="1" t="n">
        <v>46011</v>
      </c>
      <c r="D6725" t="inlineStr">
        <is>
          <t>VÄSTRA GÖTALANDS LÄN</t>
        </is>
      </c>
      <c r="E6725" t="inlineStr">
        <is>
          <t>MARK</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11414-2023</t>
        </is>
      </c>
      <c r="B6726" s="1" t="n">
        <v>44993</v>
      </c>
      <c r="C6726" s="1" t="n">
        <v>46011</v>
      </c>
      <c r="D6726" t="inlineStr">
        <is>
          <t>VÄSTRA GÖTALANDS LÄN</t>
        </is>
      </c>
      <c r="E6726" t="inlineStr">
        <is>
          <t>MARIESTAD</t>
        </is>
      </c>
      <c r="F6726" t="inlineStr">
        <is>
          <t>Sveaskog</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18786-2025</t>
        </is>
      </c>
      <c r="B6727" s="1" t="n">
        <v>45764</v>
      </c>
      <c r="C6727" s="1" t="n">
        <v>46011</v>
      </c>
      <c r="D6727" t="inlineStr">
        <is>
          <t>VÄSTRA GÖTALANDS LÄN</t>
        </is>
      </c>
      <c r="E6727" t="inlineStr">
        <is>
          <t>TANUM</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22251-2025</t>
        </is>
      </c>
      <c r="B6728" s="1" t="n">
        <v>45785.70070601852</v>
      </c>
      <c r="C6728" s="1" t="n">
        <v>46011</v>
      </c>
      <c r="D6728" t="inlineStr">
        <is>
          <t>VÄSTRA GÖTALANDS LÄN</t>
        </is>
      </c>
      <c r="E6728" t="inlineStr">
        <is>
          <t>SVENLJUNGA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7605-2022</t>
        </is>
      </c>
      <c r="B6729" s="1" t="n">
        <v>44606</v>
      </c>
      <c r="C6729" s="1" t="n">
        <v>46011</v>
      </c>
      <c r="D6729" t="inlineStr">
        <is>
          <t>VÄSTRA GÖTALANDS LÄN</t>
        </is>
      </c>
      <c r="E6729" t="inlineStr">
        <is>
          <t>VÄNERSBORG</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34415-2025</t>
        </is>
      </c>
      <c r="B6730" s="1" t="n">
        <v>45846.65206018519</v>
      </c>
      <c r="C6730" s="1" t="n">
        <v>46011</v>
      </c>
      <c r="D6730" t="inlineStr">
        <is>
          <t>VÄSTRA GÖTALANDS LÄN</t>
        </is>
      </c>
      <c r="E6730" t="inlineStr">
        <is>
          <t>BORÅS</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55918-2024</t>
        </is>
      </c>
      <c r="B6731" s="1" t="n">
        <v>45623.5980787037</v>
      </c>
      <c r="C6731" s="1" t="n">
        <v>46011</v>
      </c>
      <c r="D6731" t="inlineStr">
        <is>
          <t>VÄSTRA GÖTALANDS LÄN</t>
        </is>
      </c>
      <c r="E6731" t="inlineStr">
        <is>
          <t>BENGTSFORS</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5331-2021</t>
        </is>
      </c>
      <c r="B6732" s="1" t="n">
        <v>44229</v>
      </c>
      <c r="C6732" s="1" t="n">
        <v>46011</v>
      </c>
      <c r="D6732" t="inlineStr">
        <is>
          <t>VÄSTRA GÖTALANDS LÄN</t>
        </is>
      </c>
      <c r="E6732" t="inlineStr">
        <is>
          <t>TRANEMO</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34416-2025</t>
        </is>
      </c>
      <c r="B6733" s="1" t="n">
        <v>45846.6525462963</v>
      </c>
      <c r="C6733" s="1" t="n">
        <v>46011</v>
      </c>
      <c r="D6733" t="inlineStr">
        <is>
          <t>VÄSTRA GÖTALANDS LÄN</t>
        </is>
      </c>
      <c r="E6733" t="inlineStr">
        <is>
          <t>SKÖVDE</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34419-2025</t>
        </is>
      </c>
      <c r="B6734" s="1" t="n">
        <v>45846.66137731481</v>
      </c>
      <c r="C6734" s="1" t="n">
        <v>46011</v>
      </c>
      <c r="D6734" t="inlineStr">
        <is>
          <t>VÄSTRA GÖTALANDS LÄN</t>
        </is>
      </c>
      <c r="E6734" t="inlineStr">
        <is>
          <t>TIBRO</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26277-2025</t>
        </is>
      </c>
      <c r="B6735" s="1" t="n">
        <v>45805.60436342593</v>
      </c>
      <c r="C6735" s="1" t="n">
        <v>46011</v>
      </c>
      <c r="D6735" t="inlineStr">
        <is>
          <t>VÄSTRA GÖTALANDS LÄN</t>
        </is>
      </c>
      <c r="E6735" t="inlineStr">
        <is>
          <t>STRÖMSTAD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34211-2025</t>
        </is>
      </c>
      <c r="B6736" s="1" t="n">
        <v>45845.6409375</v>
      </c>
      <c r="C6736" s="1" t="n">
        <v>46011</v>
      </c>
      <c r="D6736" t="inlineStr">
        <is>
          <t>VÄSTRA GÖTALANDS LÄN</t>
        </is>
      </c>
      <c r="E6736" t="inlineStr">
        <is>
          <t>ÅMÅL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34218-2025</t>
        </is>
      </c>
      <c r="B6737" s="1" t="n">
        <v>45845.6490162037</v>
      </c>
      <c r="C6737" s="1" t="n">
        <v>46011</v>
      </c>
      <c r="D6737" t="inlineStr">
        <is>
          <t>VÄSTRA GÖTALANDS LÄN</t>
        </is>
      </c>
      <c r="E6737" t="inlineStr">
        <is>
          <t>ÅMÅL</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34269-2025</t>
        </is>
      </c>
      <c r="B6738" s="1" t="n">
        <v>45845.7765162037</v>
      </c>
      <c r="C6738" s="1" t="n">
        <v>46011</v>
      </c>
      <c r="D6738" t="inlineStr">
        <is>
          <t>VÄSTRA GÖTALANDS LÄN</t>
        </is>
      </c>
      <c r="E6738" t="inlineStr">
        <is>
          <t>UDDEVALLA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34277-2025</t>
        </is>
      </c>
      <c r="B6739" s="1" t="n">
        <v>45845.94069444444</v>
      </c>
      <c r="C6739" s="1" t="n">
        <v>46011</v>
      </c>
      <c r="D6739" t="inlineStr">
        <is>
          <t>VÄSTRA GÖTALANDS LÄN</t>
        </is>
      </c>
      <c r="E6739" t="inlineStr">
        <is>
          <t>MARK</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46312-2025</t>
        </is>
      </c>
      <c r="B6740" s="1" t="n">
        <v>45925</v>
      </c>
      <c r="C6740" s="1" t="n">
        <v>46011</v>
      </c>
      <c r="D6740" t="inlineStr">
        <is>
          <t>VÄSTRA GÖTALANDS LÄN</t>
        </is>
      </c>
      <c r="E6740" t="inlineStr">
        <is>
          <t>ÅMÅL</t>
        </is>
      </c>
      <c r="F6740" t="inlineStr">
        <is>
          <t>Bergvik skog väst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64066-2023</t>
        </is>
      </c>
      <c r="B6741" s="1" t="n">
        <v>45279</v>
      </c>
      <c r="C6741" s="1" t="n">
        <v>46011</v>
      </c>
      <c r="D6741" t="inlineStr">
        <is>
          <t>VÄSTRA GÖTALANDS LÄN</t>
        </is>
      </c>
      <c r="E6741" t="inlineStr">
        <is>
          <t>TANUM</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33536-2025</t>
        </is>
      </c>
      <c r="B6742" s="1" t="n">
        <v>45841.55890046297</v>
      </c>
      <c r="C6742" s="1" t="n">
        <v>46011</v>
      </c>
      <c r="D6742" t="inlineStr">
        <is>
          <t>VÄSTRA GÖTALANDS LÄN</t>
        </is>
      </c>
      <c r="E6742" t="inlineStr">
        <is>
          <t>STRÖMSTAD</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26350-2022</t>
        </is>
      </c>
      <c r="B6743" s="1" t="n">
        <v>44735.63233796296</v>
      </c>
      <c r="C6743" s="1" t="n">
        <v>46011</v>
      </c>
      <c r="D6743" t="inlineStr">
        <is>
          <t>VÄSTRA GÖTALANDS LÄN</t>
        </is>
      </c>
      <c r="E6743" t="inlineStr">
        <is>
          <t>ULRICEHAMN</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34234-2025</t>
        </is>
      </c>
      <c r="B6744" s="1" t="n">
        <v>45845.66188657407</v>
      </c>
      <c r="C6744" s="1" t="n">
        <v>46011</v>
      </c>
      <c r="D6744" t="inlineStr">
        <is>
          <t>VÄSTRA GÖTALANDS LÄN</t>
        </is>
      </c>
      <c r="E6744" t="inlineStr">
        <is>
          <t>ULRICEHAMN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34242-2025</t>
        </is>
      </c>
      <c r="B6745" s="1" t="n">
        <v>45845.67605324074</v>
      </c>
      <c r="C6745" s="1" t="n">
        <v>46011</v>
      </c>
      <c r="D6745" t="inlineStr">
        <is>
          <t>VÄSTRA GÖTALANDS LÄN</t>
        </is>
      </c>
      <c r="E6745" t="inlineStr">
        <is>
          <t>BENGTSFORS</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34250-2025</t>
        </is>
      </c>
      <c r="B6746" s="1" t="n">
        <v>45844</v>
      </c>
      <c r="C6746" s="1" t="n">
        <v>46011</v>
      </c>
      <c r="D6746" t="inlineStr">
        <is>
          <t>VÄSTRA GÖTALANDS LÄN</t>
        </is>
      </c>
      <c r="E6746" t="inlineStr">
        <is>
          <t>KUNGÄLV</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34251-2025</t>
        </is>
      </c>
      <c r="B6747" s="1" t="n">
        <v>45845.68589120371</v>
      </c>
      <c r="C6747" s="1" t="n">
        <v>46011</v>
      </c>
      <c r="D6747" t="inlineStr">
        <is>
          <t>VÄSTRA GÖTALANDS LÄN</t>
        </is>
      </c>
      <c r="E6747" t="inlineStr">
        <is>
          <t>ULRICEHAMN</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58618-2023</t>
        </is>
      </c>
      <c r="B6748" s="1" t="n">
        <v>45251.53454861111</v>
      </c>
      <c r="C6748" s="1" t="n">
        <v>46011</v>
      </c>
      <c r="D6748" t="inlineStr">
        <is>
          <t>VÄSTRA GÖTALANDS LÄN</t>
        </is>
      </c>
      <c r="E6748" t="inlineStr">
        <is>
          <t>SVENLJUNGA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62647-2023</t>
        </is>
      </c>
      <c r="B6749" s="1" t="n">
        <v>45271</v>
      </c>
      <c r="C6749" s="1" t="n">
        <v>46011</v>
      </c>
      <c r="D6749" t="inlineStr">
        <is>
          <t>VÄSTRA GÖTALANDS LÄN</t>
        </is>
      </c>
      <c r="E6749" t="inlineStr">
        <is>
          <t>ULRICEHAMN</t>
        </is>
      </c>
      <c r="F6749" t="inlineStr">
        <is>
          <t>Kyrkan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46732-2025</t>
        </is>
      </c>
      <c r="B6750" s="1" t="n">
        <v>45926.59290509259</v>
      </c>
      <c r="C6750" s="1" t="n">
        <v>46011</v>
      </c>
      <c r="D6750" t="inlineStr">
        <is>
          <t>VÄSTRA GÖTALANDS LÄN</t>
        </is>
      </c>
      <c r="E6750" t="inlineStr">
        <is>
          <t>GRÄSTORP</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62697-2023</t>
        </is>
      </c>
      <c r="B6751" s="1" t="n">
        <v>45271.53695601852</v>
      </c>
      <c r="C6751" s="1" t="n">
        <v>46011</v>
      </c>
      <c r="D6751" t="inlineStr">
        <is>
          <t>VÄSTRA GÖTALANDS LÄN</t>
        </is>
      </c>
      <c r="E6751" t="inlineStr">
        <is>
          <t>TANUM</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34308-2025</t>
        </is>
      </c>
      <c r="B6752" s="1" t="n">
        <v>45846.3706712963</v>
      </c>
      <c r="C6752" s="1" t="n">
        <v>46011</v>
      </c>
      <c r="D6752" t="inlineStr">
        <is>
          <t>VÄSTRA GÖTALANDS LÄN</t>
        </is>
      </c>
      <c r="E6752" t="inlineStr">
        <is>
          <t>SVENLJUNGA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33731-2025</t>
        </is>
      </c>
      <c r="B6753" s="1" t="n">
        <v>45842</v>
      </c>
      <c r="C6753" s="1" t="n">
        <v>46011</v>
      </c>
      <c r="D6753" t="inlineStr">
        <is>
          <t>VÄSTRA GÖTALANDS LÄN</t>
        </is>
      </c>
      <c r="E6753" t="inlineStr">
        <is>
          <t>ULRICEHAMN</t>
        </is>
      </c>
      <c r="G6753" t="n">
        <v>10.6</v>
      </c>
      <c r="H6753" t="n">
        <v>0</v>
      </c>
      <c r="I6753" t="n">
        <v>0</v>
      </c>
      <c r="J6753" t="n">
        <v>0</v>
      </c>
      <c r="K6753" t="n">
        <v>0</v>
      </c>
      <c r="L6753" t="n">
        <v>0</v>
      </c>
      <c r="M6753" t="n">
        <v>0</v>
      </c>
      <c r="N6753" t="n">
        <v>0</v>
      </c>
      <c r="O6753" t="n">
        <v>0</v>
      </c>
      <c r="P6753" t="n">
        <v>0</v>
      </c>
      <c r="Q6753" t="n">
        <v>0</v>
      </c>
      <c r="R6753" s="2" t="inlineStr"/>
    </row>
    <row r="6754" ht="15" customHeight="1">
      <c r="A6754" t="inlineStr">
        <is>
          <t>A 34085-2025</t>
        </is>
      </c>
      <c r="B6754" s="1" t="n">
        <v>45845.46462962963</v>
      </c>
      <c r="C6754" s="1" t="n">
        <v>46011</v>
      </c>
      <c r="D6754" t="inlineStr">
        <is>
          <t>VÄSTRA GÖTALANDS LÄN</t>
        </is>
      </c>
      <c r="E6754" t="inlineStr">
        <is>
          <t>MARK</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64394-2023</t>
        </is>
      </c>
      <c r="B6755" s="1" t="n">
        <v>45280.59799768519</v>
      </c>
      <c r="C6755" s="1" t="n">
        <v>46011</v>
      </c>
      <c r="D6755" t="inlineStr">
        <is>
          <t>VÄSTRA GÖTALANDS LÄN</t>
        </is>
      </c>
      <c r="E6755" t="inlineStr">
        <is>
          <t>TIDAHOLM</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57367-2024</t>
        </is>
      </c>
      <c r="B6756" s="1" t="n">
        <v>45629.66594907407</v>
      </c>
      <c r="C6756" s="1" t="n">
        <v>46011</v>
      </c>
      <c r="D6756" t="inlineStr">
        <is>
          <t>VÄSTRA GÖTALANDS LÄN</t>
        </is>
      </c>
      <c r="E6756" t="inlineStr">
        <is>
          <t>TRANEMO</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57372-2024</t>
        </is>
      </c>
      <c r="B6757" s="1" t="n">
        <v>45629.67246527778</v>
      </c>
      <c r="C6757" s="1" t="n">
        <v>46011</v>
      </c>
      <c r="D6757" t="inlineStr">
        <is>
          <t>VÄSTRA GÖTALANDS LÄN</t>
        </is>
      </c>
      <c r="E6757" t="inlineStr">
        <is>
          <t>TRANEMO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33910-2025</t>
        </is>
      </c>
      <c r="B6758" s="1" t="n">
        <v>45842.60122685185</v>
      </c>
      <c r="C6758" s="1" t="n">
        <v>46011</v>
      </c>
      <c r="D6758" t="inlineStr">
        <is>
          <t>VÄSTRA GÖTALANDS LÄN</t>
        </is>
      </c>
      <c r="E6758" t="inlineStr">
        <is>
          <t>VARA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11443-2023</t>
        </is>
      </c>
      <c r="B6759" s="1" t="n">
        <v>44993</v>
      </c>
      <c r="C6759" s="1" t="n">
        <v>46011</v>
      </c>
      <c r="D6759" t="inlineStr">
        <is>
          <t>VÄSTRA GÖTALANDS LÄN</t>
        </is>
      </c>
      <c r="E6759" t="inlineStr">
        <is>
          <t>BENGTSFORS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46338-2025</t>
        </is>
      </c>
      <c r="B6760" s="1" t="n">
        <v>45925</v>
      </c>
      <c r="C6760" s="1" t="n">
        <v>46011</v>
      </c>
      <c r="D6760" t="inlineStr">
        <is>
          <t>VÄSTRA GÖTALANDS LÄN</t>
        </is>
      </c>
      <c r="E6760" t="inlineStr">
        <is>
          <t>FALKÖPING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46380-2025</t>
        </is>
      </c>
      <c r="B6761" s="1" t="n">
        <v>45925.525625</v>
      </c>
      <c r="C6761" s="1" t="n">
        <v>46011</v>
      </c>
      <c r="D6761" t="inlineStr">
        <is>
          <t>VÄSTRA GÖTALANDS LÄN</t>
        </is>
      </c>
      <c r="E6761" t="inlineStr">
        <is>
          <t>FALKÖPING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23089-2023</t>
        </is>
      </c>
      <c r="B6762" s="1" t="n">
        <v>45075</v>
      </c>
      <c r="C6762" s="1" t="n">
        <v>46011</v>
      </c>
      <c r="D6762" t="inlineStr">
        <is>
          <t>VÄSTRA GÖTALANDS LÄN</t>
        </is>
      </c>
      <c r="E6762" t="inlineStr">
        <is>
          <t>MARK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46383-2025</t>
        </is>
      </c>
      <c r="B6763" s="1" t="n">
        <v>45925.52858796297</v>
      </c>
      <c r="C6763" s="1" t="n">
        <v>46011</v>
      </c>
      <c r="D6763" t="inlineStr">
        <is>
          <t>VÄSTRA GÖTALANDS LÄN</t>
        </is>
      </c>
      <c r="E6763" t="inlineStr">
        <is>
          <t>DALS-ED</t>
        </is>
      </c>
      <c r="F6763" t="inlineStr">
        <is>
          <t>Kyrkan</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63365-2023</t>
        </is>
      </c>
      <c r="B6764" s="1" t="n">
        <v>45274</v>
      </c>
      <c r="C6764" s="1" t="n">
        <v>46011</v>
      </c>
      <c r="D6764" t="inlineStr">
        <is>
          <t>VÄSTRA GÖTALANDS LÄN</t>
        </is>
      </c>
      <c r="E6764" t="inlineStr">
        <is>
          <t>MARK</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46319-2025</t>
        </is>
      </c>
      <c r="B6765" s="1" t="n">
        <v>45925.44780092593</v>
      </c>
      <c r="C6765" s="1" t="n">
        <v>46011</v>
      </c>
      <c r="D6765" t="inlineStr">
        <is>
          <t>VÄSTRA GÖTALANDS LÄN</t>
        </is>
      </c>
      <c r="E6765" t="inlineStr">
        <is>
          <t>UDDEVALLA</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34021-2025</t>
        </is>
      </c>
      <c r="B6766" s="1" t="n">
        <v>45845.34789351852</v>
      </c>
      <c r="C6766" s="1" t="n">
        <v>46011</v>
      </c>
      <c r="D6766" t="inlineStr">
        <is>
          <t>VÄSTRA GÖTALANDS LÄN</t>
        </is>
      </c>
      <c r="E6766" t="inlineStr">
        <is>
          <t>MARK</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40896-2022</t>
        </is>
      </c>
      <c r="B6767" s="1" t="n">
        <v>44825</v>
      </c>
      <c r="C6767" s="1" t="n">
        <v>46011</v>
      </c>
      <c r="D6767" t="inlineStr">
        <is>
          <t>VÄSTRA GÖTALANDS LÄN</t>
        </is>
      </c>
      <c r="E6767" t="inlineStr">
        <is>
          <t>TROLLHÄTTAN</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44211-2023</t>
        </is>
      </c>
      <c r="B6768" s="1" t="n">
        <v>45188</v>
      </c>
      <c r="C6768" s="1" t="n">
        <v>46011</v>
      </c>
      <c r="D6768" t="inlineStr">
        <is>
          <t>VÄSTRA GÖTALANDS LÄN</t>
        </is>
      </c>
      <c r="E6768" t="inlineStr">
        <is>
          <t>MARK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59069-2023</t>
        </is>
      </c>
      <c r="B6769" s="1" t="n">
        <v>45252</v>
      </c>
      <c r="C6769" s="1" t="n">
        <v>46011</v>
      </c>
      <c r="D6769" t="inlineStr">
        <is>
          <t>VÄSTRA GÖTALANDS LÄN</t>
        </is>
      </c>
      <c r="E6769" t="inlineStr">
        <is>
          <t>LIDKÖPING</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46528-2025</t>
        </is>
      </c>
      <c r="B6770" s="1" t="n">
        <v>45926.33401620371</v>
      </c>
      <c r="C6770" s="1" t="n">
        <v>46011</v>
      </c>
      <c r="D6770" t="inlineStr">
        <is>
          <t>VÄSTRA GÖTALANDS LÄN</t>
        </is>
      </c>
      <c r="E6770" t="inlineStr">
        <is>
          <t>TANUM</t>
        </is>
      </c>
      <c r="G6770" t="n">
        <v>11.9</v>
      </c>
      <c r="H6770" t="n">
        <v>0</v>
      </c>
      <c r="I6770" t="n">
        <v>0</v>
      </c>
      <c r="J6770" t="n">
        <v>0</v>
      </c>
      <c r="K6770" t="n">
        <v>0</v>
      </c>
      <c r="L6770" t="n">
        <v>0</v>
      </c>
      <c r="M6770" t="n">
        <v>0</v>
      </c>
      <c r="N6770" t="n">
        <v>0</v>
      </c>
      <c r="O6770" t="n">
        <v>0</v>
      </c>
      <c r="P6770" t="n">
        <v>0</v>
      </c>
      <c r="Q6770" t="n">
        <v>0</v>
      </c>
      <c r="R6770" s="2" t="inlineStr"/>
    </row>
    <row r="6771" ht="15" customHeight="1">
      <c r="A6771" t="inlineStr">
        <is>
          <t>A 46583-2025</t>
        </is>
      </c>
      <c r="B6771" s="1" t="n">
        <v>45926.37987268518</v>
      </c>
      <c r="C6771" s="1" t="n">
        <v>46011</v>
      </c>
      <c r="D6771" t="inlineStr">
        <is>
          <t>VÄSTRA GÖTALANDS LÄN</t>
        </is>
      </c>
      <c r="E6771" t="inlineStr">
        <is>
          <t>MUNKEDAL</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46588-2025</t>
        </is>
      </c>
      <c r="B6772" s="1" t="n">
        <v>45926.39152777778</v>
      </c>
      <c r="C6772" s="1" t="n">
        <v>46011</v>
      </c>
      <c r="D6772" t="inlineStr">
        <is>
          <t>VÄSTRA GÖTALANDS LÄN</t>
        </is>
      </c>
      <c r="E6772" t="inlineStr">
        <is>
          <t>KUNGÄLV</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28760-2025</t>
        </is>
      </c>
      <c r="B6773" s="1" t="n">
        <v>45820.41474537037</v>
      </c>
      <c r="C6773" s="1" t="n">
        <v>46011</v>
      </c>
      <c r="D6773" t="inlineStr">
        <is>
          <t>VÄSTRA GÖTALANDS LÄN</t>
        </is>
      </c>
      <c r="E6773" t="inlineStr">
        <is>
          <t>TANUM</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40712-2021</t>
        </is>
      </c>
      <c r="B6774" s="1" t="n">
        <v>44420</v>
      </c>
      <c r="C6774" s="1" t="n">
        <v>46011</v>
      </c>
      <c r="D6774" t="inlineStr">
        <is>
          <t>VÄSTRA GÖTALANDS LÄN</t>
        </is>
      </c>
      <c r="E6774" t="inlineStr">
        <is>
          <t>SKÖVDE</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15658-2025</t>
        </is>
      </c>
      <c r="B6775" s="1" t="n">
        <v>45748.42075231481</v>
      </c>
      <c r="C6775" s="1" t="n">
        <v>46011</v>
      </c>
      <c r="D6775" t="inlineStr">
        <is>
          <t>VÄSTRA GÖTALANDS LÄN</t>
        </is>
      </c>
      <c r="E6775" t="inlineStr">
        <is>
          <t>TROLLHÄTTAN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22427-2023</t>
        </is>
      </c>
      <c r="B6776" s="1" t="n">
        <v>45070.6696875</v>
      </c>
      <c r="C6776" s="1" t="n">
        <v>46011</v>
      </c>
      <c r="D6776" t="inlineStr">
        <is>
          <t>VÄSTRA GÖTALANDS LÄN</t>
        </is>
      </c>
      <c r="E6776" t="inlineStr">
        <is>
          <t>ULRICEHAMN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46284-2025</t>
        </is>
      </c>
      <c r="B6777" s="1" t="n">
        <v>45925.38208333333</v>
      </c>
      <c r="C6777" s="1" t="n">
        <v>46011</v>
      </c>
      <c r="D6777" t="inlineStr">
        <is>
          <t>VÄSTRA GÖTALANDS LÄN</t>
        </is>
      </c>
      <c r="E6777" t="inlineStr">
        <is>
          <t>MARK</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46290-2025</t>
        </is>
      </c>
      <c r="B6778" s="1" t="n">
        <v>45925.38766203704</v>
      </c>
      <c r="C6778" s="1" t="n">
        <v>46011</v>
      </c>
      <c r="D6778" t="inlineStr">
        <is>
          <t>VÄSTRA GÖTALANDS LÄN</t>
        </is>
      </c>
      <c r="E6778" t="inlineStr">
        <is>
          <t>MARK</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46294-2025</t>
        </is>
      </c>
      <c r="B6779" s="1" t="n">
        <v>45925.39627314815</v>
      </c>
      <c r="C6779" s="1" t="n">
        <v>46011</v>
      </c>
      <c r="D6779" t="inlineStr">
        <is>
          <t>VÄSTRA GÖTALANDS LÄN</t>
        </is>
      </c>
      <c r="E6779" t="inlineStr">
        <is>
          <t>MARK</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46534-2025</t>
        </is>
      </c>
      <c r="B6780" s="1" t="n">
        <v>45926.34030092593</v>
      </c>
      <c r="C6780" s="1" t="n">
        <v>46011</v>
      </c>
      <c r="D6780" t="inlineStr">
        <is>
          <t>VÄSTRA GÖTALANDS LÄN</t>
        </is>
      </c>
      <c r="E6780" t="inlineStr">
        <is>
          <t>ULRICEHAMN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46535-2025</t>
        </is>
      </c>
      <c r="B6781" s="1" t="n">
        <v>45926.3405787037</v>
      </c>
      <c r="C6781" s="1" t="n">
        <v>46011</v>
      </c>
      <c r="D6781" t="inlineStr">
        <is>
          <t>VÄSTRA GÖTALANDS LÄN</t>
        </is>
      </c>
      <c r="E6781" t="inlineStr">
        <is>
          <t>ESSUNGA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46368-2025</t>
        </is>
      </c>
      <c r="B6782" s="1" t="n">
        <v>45925.5033912037</v>
      </c>
      <c r="C6782" s="1" t="n">
        <v>46011</v>
      </c>
      <c r="D6782" t="inlineStr">
        <is>
          <t>VÄSTRA GÖTALANDS LÄN</t>
        </is>
      </c>
      <c r="E6782" t="inlineStr">
        <is>
          <t>BORÅS</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15699-2025</t>
        </is>
      </c>
      <c r="B6783" s="1" t="n">
        <v>45748.47081018519</v>
      </c>
      <c r="C6783" s="1" t="n">
        <v>46011</v>
      </c>
      <c r="D6783" t="inlineStr">
        <is>
          <t>VÄSTRA GÖTALANDS LÄN</t>
        </is>
      </c>
      <c r="E6783" t="inlineStr">
        <is>
          <t>KARLSBORG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15716-2025</t>
        </is>
      </c>
      <c r="B6784" s="1" t="n">
        <v>45748.50568287037</v>
      </c>
      <c r="C6784" s="1" t="n">
        <v>46011</v>
      </c>
      <c r="D6784" t="inlineStr">
        <is>
          <t>VÄSTRA GÖTALANDS LÄN</t>
        </is>
      </c>
      <c r="E6784" t="inlineStr">
        <is>
          <t>UDDEVALLA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61904-2023</t>
        </is>
      </c>
      <c r="B6785" s="1" t="n">
        <v>45266.46422453703</v>
      </c>
      <c r="C6785" s="1" t="n">
        <v>46011</v>
      </c>
      <c r="D6785" t="inlineStr">
        <is>
          <t>VÄSTRA GÖTALANDS LÄN</t>
        </is>
      </c>
      <c r="E6785" t="inlineStr">
        <is>
          <t>TRANEMO</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43207-2022</t>
        </is>
      </c>
      <c r="B6786" s="1" t="n">
        <v>44834</v>
      </c>
      <c r="C6786" s="1" t="n">
        <v>46011</v>
      </c>
      <c r="D6786" t="inlineStr">
        <is>
          <t>VÄSTRA GÖTALANDS LÄN</t>
        </is>
      </c>
      <c r="E6786" t="inlineStr">
        <is>
          <t>MARK</t>
        </is>
      </c>
      <c r="G6786" t="n">
        <v>12.5</v>
      </c>
      <c r="H6786" t="n">
        <v>0</v>
      </c>
      <c r="I6786" t="n">
        <v>0</v>
      </c>
      <c r="J6786" t="n">
        <v>0</v>
      </c>
      <c r="K6786" t="n">
        <v>0</v>
      </c>
      <c r="L6786" t="n">
        <v>0</v>
      </c>
      <c r="M6786" t="n">
        <v>0</v>
      </c>
      <c r="N6786" t="n">
        <v>0</v>
      </c>
      <c r="O6786" t="n">
        <v>0</v>
      </c>
      <c r="P6786" t="n">
        <v>0</v>
      </c>
      <c r="Q6786" t="n">
        <v>0</v>
      </c>
      <c r="R6786" s="2" t="inlineStr"/>
    </row>
    <row r="6787" ht="15" customHeight="1">
      <c r="A6787" t="inlineStr">
        <is>
          <t>A 43277-2022</t>
        </is>
      </c>
      <c r="B6787" s="1" t="n">
        <v>44834</v>
      </c>
      <c r="C6787" s="1" t="n">
        <v>46011</v>
      </c>
      <c r="D6787" t="inlineStr">
        <is>
          <t>VÄSTRA GÖTALANDS LÄN</t>
        </is>
      </c>
      <c r="E6787" t="inlineStr">
        <is>
          <t>BENGTSFORS</t>
        </is>
      </c>
      <c r="F6787" t="inlineStr">
        <is>
          <t>Kyrkan</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33844-2025</t>
        </is>
      </c>
      <c r="B6788" s="1" t="n">
        <v>45842</v>
      </c>
      <c r="C6788" s="1" t="n">
        <v>46011</v>
      </c>
      <c r="D6788" t="inlineStr">
        <is>
          <t>VÄSTRA GÖTALANDS LÄN</t>
        </is>
      </c>
      <c r="E6788" t="inlineStr">
        <is>
          <t>ULRICEHAMN</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18455-2025</t>
        </is>
      </c>
      <c r="B6789" s="1" t="n">
        <v>45762.66929398148</v>
      </c>
      <c r="C6789" s="1" t="n">
        <v>46011</v>
      </c>
      <c r="D6789" t="inlineStr">
        <is>
          <t>VÄSTRA GÖTALANDS LÄN</t>
        </is>
      </c>
      <c r="E6789" t="inlineStr">
        <is>
          <t>TRANEMO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18456-2025</t>
        </is>
      </c>
      <c r="B6790" s="1" t="n">
        <v>45762.67017361111</v>
      </c>
      <c r="C6790" s="1" t="n">
        <v>46011</v>
      </c>
      <c r="D6790" t="inlineStr">
        <is>
          <t>VÄSTRA GÖTALANDS LÄN</t>
        </is>
      </c>
      <c r="E6790" t="inlineStr">
        <is>
          <t>DALS-ED</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23450-2025</t>
        </is>
      </c>
      <c r="B6791" s="1" t="n">
        <v>45792.40715277778</v>
      </c>
      <c r="C6791" s="1" t="n">
        <v>46011</v>
      </c>
      <c r="D6791" t="inlineStr">
        <is>
          <t>VÄSTRA GÖTALANDS LÄN</t>
        </is>
      </c>
      <c r="E6791" t="inlineStr">
        <is>
          <t>MELLERUD</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47401-2025</t>
        </is>
      </c>
      <c r="B6792" s="1" t="n">
        <v>45930.60961805555</v>
      </c>
      <c r="C6792" s="1" t="n">
        <v>46011</v>
      </c>
      <c r="D6792" t="inlineStr">
        <is>
          <t>VÄSTRA GÖTALANDS LÄN</t>
        </is>
      </c>
      <c r="E6792" t="inlineStr">
        <is>
          <t>TIDAHOLM</t>
        </is>
      </c>
      <c r="F6792" t="inlineStr">
        <is>
          <t>Sveaskog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47418-2025</t>
        </is>
      </c>
      <c r="B6793" s="1" t="n">
        <v>45930.62087962963</v>
      </c>
      <c r="C6793" s="1" t="n">
        <v>46011</v>
      </c>
      <c r="D6793" t="inlineStr">
        <is>
          <t>VÄSTRA GÖTALANDS LÄN</t>
        </is>
      </c>
      <c r="E6793" t="inlineStr">
        <is>
          <t>BORÅS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18845-2025</t>
        </is>
      </c>
      <c r="B6794" s="1" t="n">
        <v>45764.41078703704</v>
      </c>
      <c r="C6794" s="1" t="n">
        <v>46011</v>
      </c>
      <c r="D6794" t="inlineStr">
        <is>
          <t>VÄSTRA GÖTALANDS LÄN</t>
        </is>
      </c>
      <c r="E6794" t="inlineStr">
        <is>
          <t>TÖREBODA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22641-2025</t>
        </is>
      </c>
      <c r="B6795" s="1" t="n">
        <v>45789.45480324074</v>
      </c>
      <c r="C6795" s="1" t="n">
        <v>46011</v>
      </c>
      <c r="D6795" t="inlineStr">
        <is>
          <t>VÄSTRA GÖTALANDS LÄN</t>
        </is>
      </c>
      <c r="E6795" t="inlineStr">
        <is>
          <t>MARK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47385-2025</t>
        </is>
      </c>
      <c r="B6796" s="1" t="n">
        <v>45930.59872685185</v>
      </c>
      <c r="C6796" s="1" t="n">
        <v>46011</v>
      </c>
      <c r="D6796" t="inlineStr">
        <is>
          <t>VÄSTRA GÖTALANDS LÄN</t>
        </is>
      </c>
      <c r="E6796" t="inlineStr">
        <is>
          <t>GÖTENE</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47391-2025</t>
        </is>
      </c>
      <c r="B6797" s="1" t="n">
        <v>45930.60347222222</v>
      </c>
      <c r="C6797" s="1" t="n">
        <v>46011</v>
      </c>
      <c r="D6797" t="inlineStr">
        <is>
          <t>VÄSTRA GÖTALANDS LÄN</t>
        </is>
      </c>
      <c r="E6797" t="inlineStr">
        <is>
          <t>TIDAHOLM</t>
        </is>
      </c>
      <c r="F6797" t="inlineStr">
        <is>
          <t>Sveaskog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60562-2022</t>
        </is>
      </c>
      <c r="B6798" s="1" t="n">
        <v>44911.55048611111</v>
      </c>
      <c r="C6798" s="1" t="n">
        <v>46011</v>
      </c>
      <c r="D6798" t="inlineStr">
        <is>
          <t>VÄSTRA GÖTALANDS LÄN</t>
        </is>
      </c>
      <c r="E6798" t="inlineStr">
        <is>
          <t>ULRICEHAMN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47022-2025</t>
        </is>
      </c>
      <c r="B6799" s="1" t="n">
        <v>45929.57760416667</v>
      </c>
      <c r="C6799" s="1" t="n">
        <v>46011</v>
      </c>
      <c r="D6799" t="inlineStr">
        <is>
          <t>VÄSTRA GÖTALANDS LÄN</t>
        </is>
      </c>
      <c r="E6799" t="inlineStr">
        <is>
          <t>DALS-ED</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16910-2024</t>
        </is>
      </c>
      <c r="B6800" s="1" t="n">
        <v>45411</v>
      </c>
      <c r="C6800" s="1" t="n">
        <v>46011</v>
      </c>
      <c r="D6800" t="inlineStr">
        <is>
          <t>VÄSTRA GÖTALANDS LÄN</t>
        </is>
      </c>
      <c r="E6800" t="inlineStr">
        <is>
          <t>GULLSPÅNG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16936-2024</t>
        </is>
      </c>
      <c r="B6801" s="1" t="n">
        <v>45411.70482638889</v>
      </c>
      <c r="C6801" s="1" t="n">
        <v>46011</v>
      </c>
      <c r="D6801" t="inlineStr">
        <is>
          <t>VÄSTRA GÖTALANDS LÄN</t>
        </is>
      </c>
      <c r="E6801" t="inlineStr">
        <is>
          <t>SVENLJUNGA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16949-2024</t>
        </is>
      </c>
      <c r="B6802" s="1" t="n">
        <v>45411.86090277778</v>
      </c>
      <c r="C6802" s="1" t="n">
        <v>46011</v>
      </c>
      <c r="D6802" t="inlineStr">
        <is>
          <t>VÄSTRA GÖTALANDS LÄN</t>
        </is>
      </c>
      <c r="E6802" t="inlineStr">
        <is>
          <t>ULRICEHAMN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8403-2024</t>
        </is>
      </c>
      <c r="B6803" s="1" t="n">
        <v>45352.79046296296</v>
      </c>
      <c r="C6803" s="1" t="n">
        <v>46011</v>
      </c>
      <c r="D6803" t="inlineStr">
        <is>
          <t>VÄSTRA GÖTALANDS LÄN</t>
        </is>
      </c>
      <c r="E6803" t="inlineStr">
        <is>
          <t>TIDAHOLM</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34693-2025</t>
        </is>
      </c>
      <c r="B6804" s="1" t="n">
        <v>45848.45915509259</v>
      </c>
      <c r="C6804" s="1" t="n">
        <v>46011</v>
      </c>
      <c r="D6804" t="inlineStr">
        <is>
          <t>VÄSTRA GÖTALANDS LÄN</t>
        </is>
      </c>
      <c r="E6804" t="inlineStr">
        <is>
          <t>BORÅS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18843-2021</t>
        </is>
      </c>
      <c r="B6805" s="1" t="n">
        <v>44307</v>
      </c>
      <c r="C6805" s="1" t="n">
        <v>46011</v>
      </c>
      <c r="D6805" t="inlineStr">
        <is>
          <t>VÄSTRA GÖTALANDS LÄN</t>
        </is>
      </c>
      <c r="E6805" t="inlineStr">
        <is>
          <t>VARA</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24870-2023</t>
        </is>
      </c>
      <c r="B6806" s="1" t="n">
        <v>45085</v>
      </c>
      <c r="C6806" s="1" t="n">
        <v>46011</v>
      </c>
      <c r="D6806" t="inlineStr">
        <is>
          <t>VÄSTRA GÖTALANDS LÄN</t>
        </is>
      </c>
      <c r="E6806" t="inlineStr">
        <is>
          <t>FALKÖPING</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47214-2025</t>
        </is>
      </c>
      <c r="B6807" s="1" t="n">
        <v>45930.38498842593</v>
      </c>
      <c r="C6807" s="1" t="n">
        <v>46011</v>
      </c>
      <c r="D6807" t="inlineStr">
        <is>
          <t>VÄSTRA GÖTALANDS LÄN</t>
        </is>
      </c>
      <c r="E6807" t="inlineStr">
        <is>
          <t>BORÅS</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47250-2025</t>
        </is>
      </c>
      <c r="B6808" s="1" t="n">
        <v>45929</v>
      </c>
      <c r="C6808" s="1" t="n">
        <v>46011</v>
      </c>
      <c r="D6808" t="inlineStr">
        <is>
          <t>VÄSTRA GÖTALANDS LÄN</t>
        </is>
      </c>
      <c r="E6808" t="inlineStr">
        <is>
          <t>TANUM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50577-2024</t>
        </is>
      </c>
      <c r="B6809" s="1" t="n">
        <v>45601.60918981482</v>
      </c>
      <c r="C6809" s="1" t="n">
        <v>46011</v>
      </c>
      <c r="D6809" t="inlineStr">
        <is>
          <t>VÄSTRA GÖTALANDS LÄN</t>
        </is>
      </c>
      <c r="E6809" t="inlineStr">
        <is>
          <t>LIDKÖPING</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8021-2024</t>
        </is>
      </c>
      <c r="B6810" s="1" t="n">
        <v>45350.92024305555</v>
      </c>
      <c r="C6810" s="1" t="n">
        <v>46011</v>
      </c>
      <c r="D6810" t="inlineStr">
        <is>
          <t>VÄSTRA GÖTALANDS LÄN</t>
        </is>
      </c>
      <c r="E6810" t="inlineStr">
        <is>
          <t>MARIESTAD</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47265-2025</t>
        </is>
      </c>
      <c r="B6811" s="1" t="n">
        <v>45930.45715277778</v>
      </c>
      <c r="C6811" s="1" t="n">
        <v>46011</v>
      </c>
      <c r="D6811" t="inlineStr">
        <is>
          <t>VÄSTRA GÖTALANDS LÄN</t>
        </is>
      </c>
      <c r="E6811" t="inlineStr">
        <is>
          <t>KARLSBORG</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47279-2025</t>
        </is>
      </c>
      <c r="B6812" s="1" t="n">
        <v>45930.47650462963</v>
      </c>
      <c r="C6812" s="1" t="n">
        <v>46011</v>
      </c>
      <c r="D6812" t="inlineStr">
        <is>
          <t>VÄSTRA GÖTALANDS LÄN</t>
        </is>
      </c>
      <c r="E6812" t="inlineStr">
        <is>
          <t>BOLLEBYGD</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65120-2023</t>
        </is>
      </c>
      <c r="B6813" s="1" t="n">
        <v>45287</v>
      </c>
      <c r="C6813" s="1" t="n">
        <v>46011</v>
      </c>
      <c r="D6813" t="inlineStr">
        <is>
          <t>VÄSTRA GÖTALANDS LÄN</t>
        </is>
      </c>
      <c r="E6813" t="inlineStr">
        <is>
          <t>VÄNERSBORG</t>
        </is>
      </c>
      <c r="G6813" t="n">
        <v>11.4</v>
      </c>
      <c r="H6813" t="n">
        <v>0</v>
      </c>
      <c r="I6813" t="n">
        <v>0</v>
      </c>
      <c r="J6813" t="n">
        <v>0</v>
      </c>
      <c r="K6813" t="n">
        <v>0</v>
      </c>
      <c r="L6813" t="n">
        <v>0</v>
      </c>
      <c r="M6813" t="n">
        <v>0</v>
      </c>
      <c r="N6813" t="n">
        <v>0</v>
      </c>
      <c r="O6813" t="n">
        <v>0</v>
      </c>
      <c r="P6813" t="n">
        <v>0</v>
      </c>
      <c r="Q6813" t="n">
        <v>0</v>
      </c>
      <c r="R6813" s="2" t="inlineStr"/>
    </row>
    <row r="6814" ht="15" customHeight="1">
      <c r="A6814" t="inlineStr">
        <is>
          <t>A 47330-2025</t>
        </is>
      </c>
      <c r="B6814" s="1" t="n">
        <v>45930.56170138889</v>
      </c>
      <c r="C6814" s="1" t="n">
        <v>46011</v>
      </c>
      <c r="D6814" t="inlineStr">
        <is>
          <t>VÄSTRA GÖTALANDS LÄN</t>
        </is>
      </c>
      <c r="E6814" t="inlineStr">
        <is>
          <t>ALE</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58325-2024</t>
        </is>
      </c>
      <c r="B6815" s="1" t="n">
        <v>45632.62700231482</v>
      </c>
      <c r="C6815" s="1" t="n">
        <v>46011</v>
      </c>
      <c r="D6815" t="inlineStr">
        <is>
          <t>VÄSTRA GÖTALANDS LÄN</t>
        </is>
      </c>
      <c r="E6815" t="inlineStr">
        <is>
          <t>MUNKEDAL</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6913-2024</t>
        </is>
      </c>
      <c r="B6816" s="1" t="n">
        <v>45343.28206018519</v>
      </c>
      <c r="C6816" s="1" t="n">
        <v>46011</v>
      </c>
      <c r="D6816" t="inlineStr">
        <is>
          <t>VÄSTRA GÖTALANDS LÄN</t>
        </is>
      </c>
      <c r="E6816" t="inlineStr">
        <is>
          <t>STENUNGSUND</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6917-2024</t>
        </is>
      </c>
      <c r="B6817" s="1" t="n">
        <v>45343</v>
      </c>
      <c r="C6817" s="1" t="n">
        <v>46011</v>
      </c>
      <c r="D6817" t="inlineStr">
        <is>
          <t>VÄSTRA GÖTALANDS LÄN</t>
        </is>
      </c>
      <c r="E6817" t="inlineStr">
        <is>
          <t>BORÅS</t>
        </is>
      </c>
      <c r="F6817" t="inlineStr">
        <is>
          <t>Sveaskog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41993-2022</t>
        </is>
      </c>
      <c r="B6818" s="1" t="n">
        <v>44830</v>
      </c>
      <c r="C6818" s="1" t="n">
        <v>46011</v>
      </c>
      <c r="D6818" t="inlineStr">
        <is>
          <t>VÄSTRA GÖTALANDS LÄN</t>
        </is>
      </c>
      <c r="E6818" t="inlineStr">
        <is>
          <t>MARIESTAD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47368-2025</t>
        </is>
      </c>
      <c r="B6819" s="1" t="n">
        <v>45930.59194444444</v>
      </c>
      <c r="C6819" s="1" t="n">
        <v>46011</v>
      </c>
      <c r="D6819" t="inlineStr">
        <is>
          <t>VÄSTRA GÖTALANDS LÄN</t>
        </is>
      </c>
      <c r="E6819" t="inlineStr">
        <is>
          <t>GÖTENE</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47370-2025</t>
        </is>
      </c>
      <c r="B6820" s="1" t="n">
        <v>45930.59299768518</v>
      </c>
      <c r="C6820" s="1" t="n">
        <v>46011</v>
      </c>
      <c r="D6820" t="inlineStr">
        <is>
          <t>VÄSTRA GÖTALANDS LÄN</t>
        </is>
      </c>
      <c r="E6820" t="inlineStr">
        <is>
          <t>TIDAHOLM</t>
        </is>
      </c>
      <c r="F6820" t="inlineStr">
        <is>
          <t>Sveaskog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47373-2025</t>
        </is>
      </c>
      <c r="B6821" s="1" t="n">
        <v>45930.59353009259</v>
      </c>
      <c r="C6821" s="1" t="n">
        <v>46011</v>
      </c>
      <c r="D6821" t="inlineStr">
        <is>
          <t>VÄSTRA GÖTALANDS LÄN</t>
        </is>
      </c>
      <c r="E6821" t="inlineStr">
        <is>
          <t>FALKÖPING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47048-2025</t>
        </is>
      </c>
      <c r="B6822" s="1" t="n">
        <v>45929.60807870371</v>
      </c>
      <c r="C6822" s="1" t="n">
        <v>46011</v>
      </c>
      <c r="D6822" t="inlineStr">
        <is>
          <t>VÄSTRA GÖTALANDS LÄN</t>
        </is>
      </c>
      <c r="E6822" t="inlineStr">
        <is>
          <t>FALKÖPING</t>
        </is>
      </c>
      <c r="F6822" t="inlineStr">
        <is>
          <t>Kyrkan</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51287-2024</t>
        </is>
      </c>
      <c r="B6823" s="1" t="n">
        <v>45603.85266203704</v>
      </c>
      <c r="C6823" s="1" t="n">
        <v>46011</v>
      </c>
      <c r="D6823" t="inlineStr">
        <is>
          <t>VÄSTRA GÖTALANDS LÄN</t>
        </is>
      </c>
      <c r="E6823" t="inlineStr">
        <is>
          <t>TIDAHOLM</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51288-2024</t>
        </is>
      </c>
      <c r="B6824" s="1" t="n">
        <v>45603.85405092593</v>
      </c>
      <c r="C6824" s="1" t="n">
        <v>46011</v>
      </c>
      <c r="D6824" t="inlineStr">
        <is>
          <t>VÄSTRA GÖTALANDS LÄN</t>
        </is>
      </c>
      <c r="E6824" t="inlineStr">
        <is>
          <t>TIDAHOLM</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47056-2025</t>
        </is>
      </c>
      <c r="B6825" s="1" t="n">
        <v>45929.6240625</v>
      </c>
      <c r="C6825" s="1" t="n">
        <v>46011</v>
      </c>
      <c r="D6825" t="inlineStr">
        <is>
          <t>VÄSTRA GÖTALANDS LÄN</t>
        </is>
      </c>
      <c r="E6825" t="inlineStr">
        <is>
          <t>TANUM</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55652-2025</t>
        </is>
      </c>
      <c r="B6826" s="1" t="n">
        <v>45972.37239583334</v>
      </c>
      <c r="C6826" s="1" t="n">
        <v>46011</v>
      </c>
      <c r="D6826" t="inlineStr">
        <is>
          <t>VÄSTRA GÖTALANDS LÄN</t>
        </is>
      </c>
      <c r="E6826" t="inlineStr">
        <is>
          <t>TÖREBODA</t>
        </is>
      </c>
      <c r="F6826" t="inlineStr">
        <is>
          <t>Sveaskog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24424-2023</t>
        </is>
      </c>
      <c r="B6827" s="1" t="n">
        <v>45082.480625</v>
      </c>
      <c r="C6827" s="1" t="n">
        <v>46011</v>
      </c>
      <c r="D6827" t="inlineStr">
        <is>
          <t>VÄSTRA GÖTALANDS LÄN</t>
        </is>
      </c>
      <c r="E6827" t="inlineStr">
        <is>
          <t>ÅMÅL</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49985-2023</t>
        </is>
      </c>
      <c r="B6828" s="1" t="n">
        <v>45215</v>
      </c>
      <c r="C6828" s="1" t="n">
        <v>46011</v>
      </c>
      <c r="D6828" t="inlineStr">
        <is>
          <t>VÄSTRA GÖTALANDS LÄN</t>
        </is>
      </c>
      <c r="E6828" t="inlineStr">
        <is>
          <t>KUNGÄLV</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19553-2024</t>
        </is>
      </c>
      <c r="B6829" s="1" t="n">
        <v>45429</v>
      </c>
      <c r="C6829" s="1" t="n">
        <v>46011</v>
      </c>
      <c r="D6829" t="inlineStr">
        <is>
          <t>VÄSTRA GÖTALANDS LÄN</t>
        </is>
      </c>
      <c r="E6829" t="inlineStr">
        <is>
          <t>ALINGSÅS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60287-2023</t>
        </is>
      </c>
      <c r="B6830" s="1" t="n">
        <v>45258.70438657407</v>
      </c>
      <c r="C6830" s="1" t="n">
        <v>46011</v>
      </c>
      <c r="D6830" t="inlineStr">
        <is>
          <t>VÄSTRA GÖTALANDS LÄN</t>
        </is>
      </c>
      <c r="E6830" t="inlineStr">
        <is>
          <t>TIDAHOLM</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34500-2025</t>
        </is>
      </c>
      <c r="B6831" s="1" t="n">
        <v>45847.43075231482</v>
      </c>
      <c r="C6831" s="1" t="n">
        <v>46011</v>
      </c>
      <c r="D6831" t="inlineStr">
        <is>
          <t>VÄSTRA GÖTALANDS LÄN</t>
        </is>
      </c>
      <c r="E6831" t="inlineStr">
        <is>
          <t>ORUST</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28957-2025</t>
        </is>
      </c>
      <c r="B6832" s="1" t="n">
        <v>45821.30648148148</v>
      </c>
      <c r="C6832" s="1" t="n">
        <v>46011</v>
      </c>
      <c r="D6832" t="inlineStr">
        <is>
          <t>VÄSTRA GÖTALANDS LÄN</t>
        </is>
      </c>
      <c r="E6832" t="inlineStr">
        <is>
          <t>TIDAHOLM</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14832-2021</t>
        </is>
      </c>
      <c r="B6833" s="1" t="n">
        <v>44280.73239583334</v>
      </c>
      <c r="C6833" s="1" t="n">
        <v>46011</v>
      </c>
      <c r="D6833" t="inlineStr">
        <is>
          <t>VÄSTRA GÖTALANDS LÄN</t>
        </is>
      </c>
      <c r="E6833" t="inlineStr">
        <is>
          <t>GRÄSTORP</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41721-2022</t>
        </is>
      </c>
      <c r="B6834" s="1" t="n">
        <v>44827</v>
      </c>
      <c r="C6834" s="1" t="n">
        <v>46011</v>
      </c>
      <c r="D6834" t="inlineStr">
        <is>
          <t>VÄSTRA GÖTALANDS LÄN</t>
        </is>
      </c>
      <c r="E6834" t="inlineStr">
        <is>
          <t>GÖTENE</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32577-2025</t>
        </is>
      </c>
      <c r="B6835" s="1" t="n">
        <v>45838</v>
      </c>
      <c r="C6835" s="1" t="n">
        <v>46011</v>
      </c>
      <c r="D6835" t="inlineStr">
        <is>
          <t>VÄSTRA GÖTALANDS LÄN</t>
        </is>
      </c>
      <c r="E6835" t="inlineStr">
        <is>
          <t>TJÖRN</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34592-2025</t>
        </is>
      </c>
      <c r="B6836" s="1" t="n">
        <v>45847.63085648148</v>
      </c>
      <c r="C6836" s="1" t="n">
        <v>46011</v>
      </c>
      <c r="D6836" t="inlineStr">
        <is>
          <t>VÄSTRA GÖTALANDS LÄN</t>
        </is>
      </c>
      <c r="E6836" t="inlineStr">
        <is>
          <t>SKÖVDE</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272-2024</t>
        </is>
      </c>
      <c r="B6837" s="1" t="n">
        <v>45294</v>
      </c>
      <c r="C6837" s="1" t="n">
        <v>46011</v>
      </c>
      <c r="D6837" t="inlineStr">
        <is>
          <t>VÄSTRA GÖTALANDS LÄN</t>
        </is>
      </c>
      <c r="E6837" t="inlineStr">
        <is>
          <t>MARK</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47405-2025</t>
        </is>
      </c>
      <c r="B6838" s="1" t="n">
        <v>45930.61258101852</v>
      </c>
      <c r="C6838" s="1" t="n">
        <v>46011</v>
      </c>
      <c r="D6838" t="inlineStr">
        <is>
          <t>VÄSTRA GÖTALANDS LÄN</t>
        </is>
      </c>
      <c r="E6838" t="inlineStr">
        <is>
          <t>ORUST</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5959-2021</t>
        </is>
      </c>
      <c r="B6839" s="1" t="n">
        <v>44231</v>
      </c>
      <c r="C6839" s="1" t="n">
        <v>46011</v>
      </c>
      <c r="D6839" t="inlineStr">
        <is>
          <t>VÄSTRA GÖTALANDS LÄN</t>
        </is>
      </c>
      <c r="E6839" t="inlineStr">
        <is>
          <t>SKARA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63778-2023</t>
        </is>
      </c>
      <c r="B6840" s="1" t="n">
        <v>45278</v>
      </c>
      <c r="C6840" s="1" t="n">
        <v>46011</v>
      </c>
      <c r="D6840" t="inlineStr">
        <is>
          <t>VÄSTRA GÖTALANDS LÄN</t>
        </is>
      </c>
      <c r="E6840" t="inlineStr">
        <is>
          <t>LIDKÖPING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42544-2022</t>
        </is>
      </c>
      <c r="B6841" s="1" t="n">
        <v>44831</v>
      </c>
      <c r="C6841" s="1" t="n">
        <v>46011</v>
      </c>
      <c r="D6841" t="inlineStr">
        <is>
          <t>VÄSTRA GÖTALANDS LÄN</t>
        </is>
      </c>
      <c r="E6841" t="inlineStr">
        <is>
          <t>ULRICEHAMN</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34671-2025</t>
        </is>
      </c>
      <c r="B6842" s="1" t="n">
        <v>45847</v>
      </c>
      <c r="C6842" s="1" t="n">
        <v>46011</v>
      </c>
      <c r="D6842" t="inlineStr">
        <is>
          <t>VÄSTRA GÖTALANDS LÄN</t>
        </is>
      </c>
      <c r="E6842" t="inlineStr">
        <is>
          <t>TROLLHÄTTAN</t>
        </is>
      </c>
      <c r="F6842" t="inlineStr">
        <is>
          <t>Kyrkan</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55294-2025</t>
        </is>
      </c>
      <c r="B6843" s="1" t="n">
        <v>45969.41967592593</v>
      </c>
      <c r="C6843" s="1" t="n">
        <v>46011</v>
      </c>
      <c r="D6843" t="inlineStr">
        <is>
          <t>VÄSTRA GÖTALANDS LÄN</t>
        </is>
      </c>
      <c r="E6843" t="inlineStr">
        <is>
          <t>ALINGSÅS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55299-2025</t>
        </is>
      </c>
      <c r="B6844" s="1" t="n">
        <v>45969.80375</v>
      </c>
      <c r="C6844" s="1" t="n">
        <v>46011</v>
      </c>
      <c r="D6844" t="inlineStr">
        <is>
          <t>VÄSTRA GÖTALANDS LÄN</t>
        </is>
      </c>
      <c r="E6844" t="inlineStr">
        <is>
          <t>FÄRGELANDA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13940-2021</t>
        </is>
      </c>
      <c r="B6845" s="1" t="n">
        <v>44277</v>
      </c>
      <c r="C6845" s="1" t="n">
        <v>46011</v>
      </c>
      <c r="D6845" t="inlineStr">
        <is>
          <t>VÄSTRA GÖTALANDS LÄN</t>
        </is>
      </c>
      <c r="E6845" t="inlineStr">
        <is>
          <t>DALS-ED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3319-2024</t>
        </is>
      </c>
      <c r="B6846" s="1" t="n">
        <v>45317</v>
      </c>
      <c r="C6846" s="1" t="n">
        <v>46011</v>
      </c>
      <c r="D6846" t="inlineStr">
        <is>
          <t>VÄSTRA GÖTALANDS LÄN</t>
        </is>
      </c>
      <c r="E6846" t="inlineStr">
        <is>
          <t>ESSUNGA</t>
        </is>
      </c>
      <c r="F6846" t="inlineStr">
        <is>
          <t>Kyrkan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3320-2024</t>
        </is>
      </c>
      <c r="B6847" s="1" t="n">
        <v>45317</v>
      </c>
      <c r="C6847" s="1" t="n">
        <v>46011</v>
      </c>
      <c r="D6847" t="inlineStr">
        <is>
          <t>VÄSTRA GÖTALANDS LÄN</t>
        </is>
      </c>
      <c r="E6847" t="inlineStr">
        <is>
          <t>ESSUNGA</t>
        </is>
      </c>
      <c r="F6847" t="inlineStr">
        <is>
          <t>Kyrkan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55300-2025</t>
        </is>
      </c>
      <c r="B6848" s="1" t="n">
        <v>45969.81296296296</v>
      </c>
      <c r="C6848" s="1" t="n">
        <v>46011</v>
      </c>
      <c r="D6848" t="inlineStr">
        <is>
          <t>VÄSTRA GÖTALANDS LÄN</t>
        </is>
      </c>
      <c r="E6848" t="inlineStr">
        <is>
          <t>FÄRGELANDA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47241-2025</t>
        </is>
      </c>
      <c r="B6849" s="1" t="n">
        <v>45930.42329861111</v>
      </c>
      <c r="C6849" s="1" t="n">
        <v>46011</v>
      </c>
      <c r="D6849" t="inlineStr">
        <is>
          <t>VÄSTRA GÖTALANDS LÄN</t>
        </is>
      </c>
      <c r="E6849" t="inlineStr">
        <is>
          <t>ESSUNGA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47258-2025</t>
        </is>
      </c>
      <c r="B6850" s="1" t="n">
        <v>45930.44646990741</v>
      </c>
      <c r="C6850" s="1" t="n">
        <v>46011</v>
      </c>
      <c r="D6850" t="inlineStr">
        <is>
          <t>VÄSTRA GÖTALANDS LÄN</t>
        </is>
      </c>
      <c r="E6850" t="inlineStr">
        <is>
          <t>BOLLEBYGD</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55776-2025</t>
        </is>
      </c>
      <c r="B6851" s="1" t="n">
        <v>45972</v>
      </c>
      <c r="C6851" s="1" t="n">
        <v>46011</v>
      </c>
      <c r="D6851" t="inlineStr">
        <is>
          <t>VÄSTRA GÖTALANDS LÄN</t>
        </is>
      </c>
      <c r="E6851" t="inlineStr">
        <is>
          <t>VÅRGÅRDA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6613-2021</t>
        </is>
      </c>
      <c r="B6852" s="1" t="n">
        <v>44236</v>
      </c>
      <c r="C6852" s="1" t="n">
        <v>46011</v>
      </c>
      <c r="D6852" t="inlineStr">
        <is>
          <t>VÄSTRA GÖTALANDS LÄN</t>
        </is>
      </c>
      <c r="E6852" t="inlineStr">
        <is>
          <t>ORUST</t>
        </is>
      </c>
      <c r="G6852" t="n">
        <v>8.800000000000001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46870-2025</t>
        </is>
      </c>
      <c r="B6853" s="1" t="n">
        <v>45927</v>
      </c>
      <c r="C6853" s="1" t="n">
        <v>46011</v>
      </c>
      <c r="D6853" t="inlineStr">
        <is>
          <t>VÄSTRA GÖTALANDS LÄN</t>
        </is>
      </c>
      <c r="E6853" t="inlineStr">
        <is>
          <t>TANUM</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46872-2025</t>
        </is>
      </c>
      <c r="B6854" s="1" t="n">
        <v>45929.34412037037</v>
      </c>
      <c r="C6854" s="1" t="n">
        <v>46011</v>
      </c>
      <c r="D6854" t="inlineStr">
        <is>
          <t>VÄSTRA GÖTALANDS LÄN</t>
        </is>
      </c>
      <c r="E6854" t="inlineStr">
        <is>
          <t>MELLERUD</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6674-2021</t>
        </is>
      </c>
      <c r="B6855" s="1" t="n">
        <v>44236</v>
      </c>
      <c r="C6855" s="1" t="n">
        <v>46011</v>
      </c>
      <c r="D6855" t="inlineStr">
        <is>
          <t>VÄSTRA GÖTALANDS LÄN</t>
        </is>
      </c>
      <c r="E6855" t="inlineStr">
        <is>
          <t>DALS-ED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6675-2021</t>
        </is>
      </c>
      <c r="B6856" s="1" t="n">
        <v>44236</v>
      </c>
      <c r="C6856" s="1" t="n">
        <v>46011</v>
      </c>
      <c r="D6856" t="inlineStr">
        <is>
          <t>VÄSTRA GÖTALANDS LÄN</t>
        </is>
      </c>
      <c r="E6856" t="inlineStr">
        <is>
          <t>HERRLJUNGA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9099-2025</t>
        </is>
      </c>
      <c r="B6857" s="1" t="n">
        <v>45713.68893518519</v>
      </c>
      <c r="C6857" s="1" t="n">
        <v>46011</v>
      </c>
      <c r="D6857" t="inlineStr">
        <is>
          <t>VÄSTRA GÖTALANDS LÄN</t>
        </is>
      </c>
      <c r="E6857" t="inlineStr">
        <is>
          <t>MARK</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9118-2025</t>
        </is>
      </c>
      <c r="B6858" s="1" t="n">
        <v>45713.80175925926</v>
      </c>
      <c r="C6858" s="1" t="n">
        <v>46011</v>
      </c>
      <c r="D6858" t="inlineStr">
        <is>
          <t>VÄSTRA GÖTALANDS LÄN</t>
        </is>
      </c>
      <c r="E6858" t="inlineStr">
        <is>
          <t>SKARA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1443-2025</t>
        </is>
      </c>
      <c r="B6859" s="1" t="n">
        <v>45669</v>
      </c>
      <c r="C6859" s="1" t="n">
        <v>46011</v>
      </c>
      <c r="D6859" t="inlineStr">
        <is>
          <t>VÄSTRA GÖTALANDS LÄN</t>
        </is>
      </c>
      <c r="E6859" t="inlineStr">
        <is>
          <t>TIDAHOLM</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30909-2025</t>
        </is>
      </c>
      <c r="B6860" s="1" t="n">
        <v>45832.36733796296</v>
      </c>
      <c r="C6860" s="1" t="n">
        <v>46011</v>
      </c>
      <c r="D6860" t="inlineStr">
        <is>
          <t>VÄSTRA GÖTALANDS LÄN</t>
        </is>
      </c>
      <c r="E6860" t="inlineStr">
        <is>
          <t>TRANEMO</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21170-2025</t>
        </is>
      </c>
      <c r="B6861" s="1" t="n">
        <v>45779.42442129629</v>
      </c>
      <c r="C6861" s="1" t="n">
        <v>46011</v>
      </c>
      <c r="D6861" t="inlineStr">
        <is>
          <t>VÄSTRA GÖTALANDS LÄN</t>
        </is>
      </c>
      <c r="E6861" t="inlineStr">
        <is>
          <t>TIDAHOLM</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21918-2025</t>
        </is>
      </c>
      <c r="B6862" s="1" t="n">
        <v>45784.50868055555</v>
      </c>
      <c r="C6862" s="1" t="n">
        <v>46011</v>
      </c>
      <c r="D6862" t="inlineStr">
        <is>
          <t>VÄSTRA GÖTALANDS LÄN</t>
        </is>
      </c>
      <c r="E6862" t="inlineStr">
        <is>
          <t>ULRICEHAMN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47262-2025</t>
        </is>
      </c>
      <c r="B6863" s="1" t="n">
        <v>45930.45395833333</v>
      </c>
      <c r="C6863" s="1" t="n">
        <v>46011</v>
      </c>
      <c r="D6863" t="inlineStr">
        <is>
          <t>VÄSTRA GÖTALANDS LÄN</t>
        </is>
      </c>
      <c r="E6863" t="inlineStr">
        <is>
          <t>KARLSBORG</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14334-2025</t>
        </is>
      </c>
      <c r="B6864" s="1" t="n">
        <v>45740</v>
      </c>
      <c r="C6864" s="1" t="n">
        <v>46011</v>
      </c>
      <c r="D6864" t="inlineStr">
        <is>
          <t>VÄSTRA GÖTALANDS LÄN</t>
        </is>
      </c>
      <c r="E6864" t="inlineStr">
        <is>
          <t>TIDAHOLM</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34624-2025</t>
        </is>
      </c>
      <c r="B6865" s="1" t="n">
        <v>45847.73737268519</v>
      </c>
      <c r="C6865" s="1" t="n">
        <v>46011</v>
      </c>
      <c r="D6865" t="inlineStr">
        <is>
          <t>VÄSTRA GÖTALANDS LÄN</t>
        </is>
      </c>
      <c r="E6865" t="inlineStr">
        <is>
          <t>MUNKEDAL</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55642-2025</t>
        </is>
      </c>
      <c r="B6866" s="1" t="n">
        <v>45972.3575462963</v>
      </c>
      <c r="C6866" s="1" t="n">
        <v>46011</v>
      </c>
      <c r="D6866" t="inlineStr">
        <is>
          <t>VÄSTRA GÖTALANDS LÄN</t>
        </is>
      </c>
      <c r="E6866" t="inlineStr">
        <is>
          <t>SKÖVDE</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55656-2025</t>
        </is>
      </c>
      <c r="B6867" s="1" t="n">
        <v>45972.39038194445</v>
      </c>
      <c r="C6867" s="1" t="n">
        <v>46011</v>
      </c>
      <c r="D6867" t="inlineStr">
        <is>
          <t>VÄSTRA GÖTALANDS LÄN</t>
        </is>
      </c>
      <c r="E6867" t="inlineStr">
        <is>
          <t>TÖREBODA</t>
        </is>
      </c>
      <c r="F6867" t="inlineStr">
        <is>
          <t>Sveaskog</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34695-2025</t>
        </is>
      </c>
      <c r="B6868" s="1" t="n">
        <v>45848.46100694445</v>
      </c>
      <c r="C6868" s="1" t="n">
        <v>46011</v>
      </c>
      <c r="D6868" t="inlineStr">
        <is>
          <t>VÄSTRA GÖTALANDS LÄN</t>
        </is>
      </c>
      <c r="E6868" t="inlineStr">
        <is>
          <t>BORÅS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55744-2025</t>
        </is>
      </c>
      <c r="B6869" s="1" t="n">
        <v>45972.57346064815</v>
      </c>
      <c r="C6869" s="1" t="n">
        <v>46011</v>
      </c>
      <c r="D6869" t="inlineStr">
        <is>
          <t>VÄSTRA GÖTALANDS LÄN</t>
        </is>
      </c>
      <c r="E6869" t="inlineStr">
        <is>
          <t>MARIESTAD</t>
        </is>
      </c>
      <c r="F6869" t="inlineStr">
        <is>
          <t>Övriga Aktiebolag</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55336-2025</t>
        </is>
      </c>
      <c r="B6870" s="1" t="n">
        <v>45971.3446412037</v>
      </c>
      <c r="C6870" s="1" t="n">
        <v>46011</v>
      </c>
      <c r="D6870" t="inlineStr">
        <is>
          <t>VÄSTRA GÖTALANDS LÄN</t>
        </is>
      </c>
      <c r="E6870" t="inlineStr">
        <is>
          <t>VÄNERSBORG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20526-2025</t>
        </is>
      </c>
      <c r="B6871" s="1" t="n">
        <v>45775.60614583334</v>
      </c>
      <c r="C6871" s="1" t="n">
        <v>46011</v>
      </c>
      <c r="D6871" t="inlineStr">
        <is>
          <t>VÄSTRA GÖTALANDS LÄN</t>
        </is>
      </c>
      <c r="E6871" t="inlineStr">
        <is>
          <t>BENGTSFORS</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18327-2023</t>
        </is>
      </c>
      <c r="B6872" s="1" t="n">
        <v>45041.628125</v>
      </c>
      <c r="C6872" s="1" t="n">
        <v>46011</v>
      </c>
      <c r="D6872" t="inlineStr">
        <is>
          <t>VÄSTRA GÖTALANDS LÄN</t>
        </is>
      </c>
      <c r="E6872" t="inlineStr">
        <is>
          <t>TANUM</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1980-2024</t>
        </is>
      </c>
      <c r="B6873" s="1" t="n">
        <v>45308</v>
      </c>
      <c r="C6873" s="1" t="n">
        <v>46011</v>
      </c>
      <c r="D6873" t="inlineStr">
        <is>
          <t>VÄSTRA GÖTALANDS LÄN</t>
        </is>
      </c>
      <c r="E6873" t="inlineStr">
        <is>
          <t>VARA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47050-2025</t>
        </is>
      </c>
      <c r="B6874" s="1" t="n">
        <v>45929.61418981481</v>
      </c>
      <c r="C6874" s="1" t="n">
        <v>46011</v>
      </c>
      <c r="D6874" t="inlineStr">
        <is>
          <t>VÄSTRA GÖTALANDS LÄN</t>
        </is>
      </c>
      <c r="E6874" t="inlineStr">
        <is>
          <t>TANUM</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47397-2025</t>
        </is>
      </c>
      <c r="B6875" s="1" t="n">
        <v>45930.60707175926</v>
      </c>
      <c r="C6875" s="1" t="n">
        <v>46011</v>
      </c>
      <c r="D6875" t="inlineStr">
        <is>
          <t>VÄSTRA GÖTALANDS LÄN</t>
        </is>
      </c>
      <c r="E6875" t="inlineStr">
        <is>
          <t>TIDAHOLM</t>
        </is>
      </c>
      <c r="F6875" t="inlineStr">
        <is>
          <t>Sveaskog</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47406-2025</t>
        </is>
      </c>
      <c r="B6876" s="1" t="n">
        <v>45930.61263888889</v>
      </c>
      <c r="C6876" s="1" t="n">
        <v>46011</v>
      </c>
      <c r="D6876" t="inlineStr">
        <is>
          <t>VÄSTRA GÖTALANDS LÄN</t>
        </is>
      </c>
      <c r="E6876" t="inlineStr">
        <is>
          <t>TIDAHOLM</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55434-2025</t>
        </is>
      </c>
      <c r="B6877" s="1" t="n">
        <v>45971.48189814815</v>
      </c>
      <c r="C6877" s="1" t="n">
        <v>46011</v>
      </c>
      <c r="D6877" t="inlineStr">
        <is>
          <t>VÄSTRA GÖTALANDS LÄN</t>
        </is>
      </c>
      <c r="E6877" t="inlineStr">
        <is>
          <t>TANUM</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55435-2025</t>
        </is>
      </c>
      <c r="B6878" s="1" t="n">
        <v>45971.48229166667</v>
      </c>
      <c r="C6878" s="1" t="n">
        <v>46011</v>
      </c>
      <c r="D6878" t="inlineStr">
        <is>
          <t>VÄSTRA GÖTALANDS LÄN</t>
        </is>
      </c>
      <c r="E6878" t="inlineStr">
        <is>
          <t>ALINGSÅS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34508-2025</t>
        </is>
      </c>
      <c r="B6879" s="1" t="n">
        <v>45847.44315972222</v>
      </c>
      <c r="C6879" s="1" t="n">
        <v>46011</v>
      </c>
      <c r="D6879" t="inlineStr">
        <is>
          <t>VÄSTRA GÖTALANDS LÄN</t>
        </is>
      </c>
      <c r="E6879" t="inlineStr">
        <is>
          <t>TJÖRN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13308-2023</t>
        </is>
      </c>
      <c r="B6880" s="1" t="n">
        <v>45005.37168981481</v>
      </c>
      <c r="C6880" s="1" t="n">
        <v>46011</v>
      </c>
      <c r="D6880" t="inlineStr">
        <is>
          <t>VÄSTRA GÖTALANDS LÄN</t>
        </is>
      </c>
      <c r="E6880" t="inlineStr">
        <is>
          <t>HERRLJUNGA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24183-2024</t>
        </is>
      </c>
      <c r="B6881" s="1" t="n">
        <v>45456.87540509259</v>
      </c>
      <c r="C6881" s="1" t="n">
        <v>46011</v>
      </c>
      <c r="D6881" t="inlineStr">
        <is>
          <t>VÄSTRA GÖTALANDS LÄN</t>
        </is>
      </c>
      <c r="E6881" t="inlineStr">
        <is>
          <t>BORÅS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34621-2025</t>
        </is>
      </c>
      <c r="B6882" s="1" t="n">
        <v>45847</v>
      </c>
      <c r="C6882" s="1" t="n">
        <v>46011</v>
      </c>
      <c r="D6882" t="inlineStr">
        <is>
          <t>VÄSTRA GÖTALANDS LÄN</t>
        </is>
      </c>
      <c r="E6882" t="inlineStr">
        <is>
          <t>TIDAHOLM</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334-2023</t>
        </is>
      </c>
      <c r="B6883" s="1" t="n">
        <v>44929.46462962963</v>
      </c>
      <c r="C6883" s="1" t="n">
        <v>46011</v>
      </c>
      <c r="D6883" t="inlineStr">
        <is>
          <t>VÄSTRA GÖTALANDS LÄN</t>
        </is>
      </c>
      <c r="E6883" t="inlineStr">
        <is>
          <t>MELLERUD</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34502-2025</t>
        </is>
      </c>
      <c r="B6884" s="1" t="n">
        <v>45847.43163194445</v>
      </c>
      <c r="C6884" s="1" t="n">
        <v>46011</v>
      </c>
      <c r="D6884" t="inlineStr">
        <is>
          <t>VÄSTRA GÖTALANDS LÄN</t>
        </is>
      </c>
      <c r="E6884" t="inlineStr">
        <is>
          <t>ORUST</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55418-2025</t>
        </is>
      </c>
      <c r="B6885" s="1" t="n">
        <v>45971.46984953704</v>
      </c>
      <c r="C6885" s="1" t="n">
        <v>46011</v>
      </c>
      <c r="D6885" t="inlineStr">
        <is>
          <t>VÄSTRA GÖTALANDS LÄN</t>
        </is>
      </c>
      <c r="E6885" t="inlineStr">
        <is>
          <t>DALS-ED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50400-2024</t>
        </is>
      </c>
      <c r="B6886" s="1" t="n">
        <v>45601</v>
      </c>
      <c r="C6886" s="1" t="n">
        <v>46011</v>
      </c>
      <c r="D6886" t="inlineStr">
        <is>
          <t>VÄSTRA GÖTALANDS LÄN</t>
        </is>
      </c>
      <c r="E6886" t="inlineStr">
        <is>
          <t>FALKÖPING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34501-2025</t>
        </is>
      </c>
      <c r="B6887" s="1" t="n">
        <v>45847.43148148148</v>
      </c>
      <c r="C6887" s="1" t="n">
        <v>46011</v>
      </c>
      <c r="D6887" t="inlineStr">
        <is>
          <t>VÄSTRA GÖTALANDS LÄN</t>
        </is>
      </c>
      <c r="E6887" t="inlineStr">
        <is>
          <t>MARK</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412-2023</t>
        </is>
      </c>
      <c r="B6888" s="1" t="n">
        <v>44929</v>
      </c>
      <c r="C6888" s="1" t="n">
        <v>46011</v>
      </c>
      <c r="D6888" t="inlineStr">
        <is>
          <t>VÄSTRA GÖTALANDS LÄN</t>
        </is>
      </c>
      <c r="E6888" t="inlineStr">
        <is>
          <t>KARLSBORG</t>
        </is>
      </c>
      <c r="G6888" t="n">
        <v>1.3</v>
      </c>
      <c r="H6888" t="n">
        <v>0</v>
      </c>
      <c r="I6888" t="n">
        <v>0</v>
      </c>
      <c r="J6888" t="n">
        <v>0</v>
      </c>
      <c r="K6888" t="n">
        <v>0</v>
      </c>
      <c r="L6888" t="n">
        <v>0</v>
      </c>
      <c r="M6888" t="n">
        <v>0</v>
      </c>
      <c r="N6888" t="n">
        <v>0</v>
      </c>
      <c r="O6888" t="n">
        <v>0</v>
      </c>
      <c r="P6888" t="n">
        <v>0</v>
      </c>
      <c r="Q6888" t="n">
        <v>0</v>
      </c>
      <c r="R6888" s="2" t="inlineStr"/>
      <c r="T6888">
        <f>HYPERLINK("https://klasma.github.io/Logging_1446/kartor/A 412-2023 karta.png", "A 412-2023")</f>
        <v/>
      </c>
      <c r="V6888">
        <f>HYPERLINK("https://klasma.github.io/Logging_1446/klagomål/A 412-2023 FSC-klagomål.docx", "A 412-2023")</f>
        <v/>
      </c>
      <c r="W6888">
        <f>HYPERLINK("https://klasma.github.io/Logging_1446/klagomålsmail/A 412-2023 FSC-klagomål mail.docx", "A 412-2023")</f>
        <v/>
      </c>
      <c r="X6888">
        <f>HYPERLINK("https://klasma.github.io/Logging_1446/tillsyn/A 412-2023 tillsynsbegäran.docx", "A 412-2023")</f>
        <v/>
      </c>
      <c r="Y6888">
        <f>HYPERLINK("https://klasma.github.io/Logging_1446/tillsynsmail/A 412-2023 tillsynsbegäran mail.docx", "A 412-2023")</f>
        <v/>
      </c>
    </row>
    <row r="6889" ht="15" customHeight="1">
      <c r="A6889" t="inlineStr">
        <is>
          <t>A 46113-2024</t>
        </is>
      </c>
      <c r="B6889" s="1" t="n">
        <v>45581.39112268519</v>
      </c>
      <c r="C6889" s="1" t="n">
        <v>46011</v>
      </c>
      <c r="D6889" t="inlineStr">
        <is>
          <t>VÄSTRA GÖTALANDS LÄN</t>
        </is>
      </c>
      <c r="E6889" t="inlineStr">
        <is>
          <t>TIDAHOLM</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34507-2025</t>
        </is>
      </c>
      <c r="B6890" s="1" t="n">
        <v>45847.44287037037</v>
      </c>
      <c r="C6890" s="1" t="n">
        <v>46011</v>
      </c>
      <c r="D6890" t="inlineStr">
        <is>
          <t>VÄSTRA GÖTALANDS LÄN</t>
        </is>
      </c>
      <c r="E6890" t="inlineStr">
        <is>
          <t>MARK</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44643-2021</t>
        </is>
      </c>
      <c r="B6891" s="1" t="n">
        <v>44437.70806712963</v>
      </c>
      <c r="C6891" s="1" t="n">
        <v>46011</v>
      </c>
      <c r="D6891" t="inlineStr">
        <is>
          <t>VÄSTRA GÖTALANDS LÄN</t>
        </is>
      </c>
      <c r="E6891" t="inlineStr">
        <is>
          <t>GULLSPÅNG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47307-2025</t>
        </is>
      </c>
      <c r="B6892" s="1" t="n">
        <v>45930.52902777777</v>
      </c>
      <c r="C6892" s="1" t="n">
        <v>46011</v>
      </c>
      <c r="D6892" t="inlineStr">
        <is>
          <t>VÄSTRA GÖTALANDS LÄN</t>
        </is>
      </c>
      <c r="E6892" t="inlineStr">
        <is>
          <t>MUNKEDAL</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12675-2021</t>
        </is>
      </c>
      <c r="B6893" s="1" t="n">
        <v>44270.53107638889</v>
      </c>
      <c r="C6893" s="1" t="n">
        <v>46011</v>
      </c>
      <c r="D6893" t="inlineStr">
        <is>
          <t>VÄSTRA GÖTALANDS LÄN</t>
        </is>
      </c>
      <c r="E6893" t="inlineStr">
        <is>
          <t>VARA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45056-2021</t>
        </is>
      </c>
      <c r="B6894" s="1" t="n">
        <v>44439.34355324074</v>
      </c>
      <c r="C6894" s="1" t="n">
        <v>46011</v>
      </c>
      <c r="D6894" t="inlineStr">
        <is>
          <t>VÄSTRA GÖTALANDS LÄN</t>
        </is>
      </c>
      <c r="E6894" t="inlineStr">
        <is>
          <t>GULLSPÅNG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3948-2023</t>
        </is>
      </c>
      <c r="B6895" s="1" t="n">
        <v>44952</v>
      </c>
      <c r="C6895" s="1" t="n">
        <v>46011</v>
      </c>
      <c r="D6895" t="inlineStr">
        <is>
          <t>VÄSTRA GÖTALANDS LÄN</t>
        </is>
      </c>
      <c r="E6895" t="inlineStr">
        <is>
          <t>FALKÖPING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57805-2024</t>
        </is>
      </c>
      <c r="B6896" s="1" t="n">
        <v>45631.34956018518</v>
      </c>
      <c r="C6896" s="1" t="n">
        <v>46011</v>
      </c>
      <c r="D6896" t="inlineStr">
        <is>
          <t>VÄSTRA GÖTALANDS LÄN</t>
        </is>
      </c>
      <c r="E6896" t="inlineStr">
        <is>
          <t>MARK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47311-2025</t>
        </is>
      </c>
      <c r="B6897" s="1" t="n">
        <v>45930.54122685185</v>
      </c>
      <c r="C6897" s="1" t="n">
        <v>46011</v>
      </c>
      <c r="D6897" t="inlineStr">
        <is>
          <t>VÄSTRA GÖTALANDS LÄN</t>
        </is>
      </c>
      <c r="E6897" t="inlineStr">
        <is>
          <t>DALS-ED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34493-2025</t>
        </is>
      </c>
      <c r="B6898" s="1" t="n">
        <v>45847.42376157407</v>
      </c>
      <c r="C6898" s="1" t="n">
        <v>46011</v>
      </c>
      <c r="D6898" t="inlineStr">
        <is>
          <t>VÄSTRA GÖTALANDS LÄN</t>
        </is>
      </c>
      <c r="E6898" t="inlineStr">
        <is>
          <t>UDDEVALLA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34650-2025</t>
        </is>
      </c>
      <c r="B6899" s="1" t="n">
        <v>45848.34980324074</v>
      </c>
      <c r="C6899" s="1" t="n">
        <v>46011</v>
      </c>
      <c r="D6899" t="inlineStr">
        <is>
          <t>VÄSTRA GÖTALANDS LÄN</t>
        </is>
      </c>
      <c r="E6899" t="inlineStr">
        <is>
          <t>TRANEMO</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29385-2025</t>
        </is>
      </c>
      <c r="B6900" s="1" t="n">
        <v>45824.60089120371</v>
      </c>
      <c r="C6900" s="1" t="n">
        <v>46011</v>
      </c>
      <c r="D6900" t="inlineStr">
        <is>
          <t>VÄSTRA GÖTALANDS LÄN</t>
        </is>
      </c>
      <c r="E6900" t="inlineStr">
        <is>
          <t>TRANEMO</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14977-2023</t>
        </is>
      </c>
      <c r="B6901" s="1" t="n">
        <v>45015.53054398148</v>
      </c>
      <c r="C6901" s="1" t="n">
        <v>46011</v>
      </c>
      <c r="D6901" t="inlineStr">
        <is>
          <t>VÄSTRA GÖTALANDS LÄN</t>
        </is>
      </c>
      <c r="E6901" t="inlineStr">
        <is>
          <t>MARIESTAD</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15000-2023</t>
        </is>
      </c>
      <c r="B6902" s="1" t="n">
        <v>45015.57863425926</v>
      </c>
      <c r="C6902" s="1" t="n">
        <v>46011</v>
      </c>
      <c r="D6902" t="inlineStr">
        <is>
          <t>VÄSTRA GÖTALANDS LÄN</t>
        </is>
      </c>
      <c r="E6902" t="inlineStr">
        <is>
          <t>TROLLHÄTTAN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15019-2023</t>
        </is>
      </c>
      <c r="B6903" s="1" t="n">
        <v>45015</v>
      </c>
      <c r="C6903" s="1" t="n">
        <v>46011</v>
      </c>
      <c r="D6903" t="inlineStr">
        <is>
          <t>VÄSTRA GÖTALANDS LÄN</t>
        </is>
      </c>
      <c r="E6903" t="inlineStr">
        <is>
          <t>ALINGSÅS</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47134-2025</t>
        </is>
      </c>
      <c r="B6904" s="1" t="n">
        <v>45929.69758101852</v>
      </c>
      <c r="C6904" s="1" t="n">
        <v>46011</v>
      </c>
      <c r="D6904" t="inlineStr">
        <is>
          <t>VÄSTRA GÖTALANDS LÄN</t>
        </is>
      </c>
      <c r="E6904" t="inlineStr">
        <is>
          <t>LERUM</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47167-2025</t>
        </is>
      </c>
      <c r="B6905" s="1" t="n">
        <v>45929.76333333334</v>
      </c>
      <c r="C6905" s="1" t="n">
        <v>46011</v>
      </c>
      <c r="D6905" t="inlineStr">
        <is>
          <t>VÄSTRA GÖTALANDS LÄN</t>
        </is>
      </c>
      <c r="E6905" t="inlineStr">
        <is>
          <t>TANUM</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47175-2025</t>
        </is>
      </c>
      <c r="B6906" s="1" t="n">
        <v>45930.26871527778</v>
      </c>
      <c r="C6906" s="1" t="n">
        <v>46011</v>
      </c>
      <c r="D6906" t="inlineStr">
        <is>
          <t>VÄSTRA GÖTALANDS LÄN</t>
        </is>
      </c>
      <c r="E6906" t="inlineStr">
        <is>
          <t>GÖTENE</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60127-2024</t>
        </is>
      </c>
      <c r="B6907" s="1" t="n">
        <v>45642.59199074074</v>
      </c>
      <c r="C6907" s="1" t="n">
        <v>46011</v>
      </c>
      <c r="D6907" t="inlineStr">
        <is>
          <t>VÄSTRA GÖTALANDS LÄN</t>
        </is>
      </c>
      <c r="E6907" t="inlineStr">
        <is>
          <t>MARK</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47123-2025</t>
        </is>
      </c>
      <c r="B6908" s="1" t="n">
        <v>45929.67972222222</v>
      </c>
      <c r="C6908" s="1" t="n">
        <v>46011</v>
      </c>
      <c r="D6908" t="inlineStr">
        <is>
          <t>VÄSTRA GÖTALANDS LÄN</t>
        </is>
      </c>
      <c r="E6908" t="inlineStr">
        <is>
          <t>DALS-ED</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9039-2025</t>
        </is>
      </c>
      <c r="B6909" s="1" t="n">
        <v>45713.62387731481</v>
      </c>
      <c r="C6909" s="1" t="n">
        <v>46011</v>
      </c>
      <c r="D6909" t="inlineStr">
        <is>
          <t>VÄSTRA GÖTALANDS LÄN</t>
        </is>
      </c>
      <c r="E6909" t="inlineStr">
        <is>
          <t>DALS-ED</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47142-2025</t>
        </is>
      </c>
      <c r="B6910" s="1" t="n">
        <v>45929.70454861111</v>
      </c>
      <c r="C6910" s="1" t="n">
        <v>46011</v>
      </c>
      <c r="D6910" t="inlineStr">
        <is>
          <t>VÄSTRA GÖTALANDS LÄN</t>
        </is>
      </c>
      <c r="E6910" t="inlineStr">
        <is>
          <t>HERRLJUNGA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9279-2025</t>
        </is>
      </c>
      <c r="B6911" s="1" t="n">
        <v>45714.63861111111</v>
      </c>
      <c r="C6911" s="1" t="n">
        <v>46011</v>
      </c>
      <c r="D6911" t="inlineStr">
        <is>
          <t>VÄSTRA GÖTALANDS LÄN</t>
        </is>
      </c>
      <c r="E6911" t="inlineStr">
        <is>
          <t>TRANEMO</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50891-2021</t>
        </is>
      </c>
      <c r="B6912" s="1" t="n">
        <v>44460</v>
      </c>
      <c r="C6912" s="1" t="n">
        <v>46011</v>
      </c>
      <c r="D6912" t="inlineStr">
        <is>
          <t>VÄSTRA GÖTALANDS LÄN</t>
        </is>
      </c>
      <c r="E6912" t="inlineStr">
        <is>
          <t>TANUM</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50932-2021</t>
        </is>
      </c>
      <c r="B6913" s="1" t="n">
        <v>44459</v>
      </c>
      <c r="C6913" s="1" t="n">
        <v>46011</v>
      </c>
      <c r="D6913" t="inlineStr">
        <is>
          <t>VÄSTRA GÖTALANDS LÄN</t>
        </is>
      </c>
      <c r="E6913" t="inlineStr">
        <is>
          <t>HERRLJUNGA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7682-2025</t>
        </is>
      </c>
      <c r="B6914" s="1" t="n">
        <v>45706.36872685186</v>
      </c>
      <c r="C6914" s="1" t="n">
        <v>46011</v>
      </c>
      <c r="D6914" t="inlineStr">
        <is>
          <t>VÄSTRA GÖTALANDS LÄN</t>
        </is>
      </c>
      <c r="E6914" t="inlineStr">
        <is>
          <t>BENGTSFORS</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27582-2025</t>
        </is>
      </c>
      <c r="B6915" s="1" t="n">
        <v>45813.49745370371</v>
      </c>
      <c r="C6915" s="1" t="n">
        <v>46011</v>
      </c>
      <c r="D6915" t="inlineStr">
        <is>
          <t>VÄSTRA GÖTALANDS LÄN</t>
        </is>
      </c>
      <c r="E6915" t="inlineStr">
        <is>
          <t>TRANEMO</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47169-2025</t>
        </is>
      </c>
      <c r="B6916" s="1" t="n">
        <v>45929.91121527777</v>
      </c>
      <c r="C6916" s="1" t="n">
        <v>46011</v>
      </c>
      <c r="D6916" t="inlineStr">
        <is>
          <t>VÄSTRA GÖTALANDS LÄN</t>
        </is>
      </c>
      <c r="E6916" t="inlineStr">
        <is>
          <t>VÅRGÅRDA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9281-2025</t>
        </is>
      </c>
      <c r="B6917" s="1" t="n">
        <v>45714</v>
      </c>
      <c r="C6917" s="1" t="n">
        <v>46011</v>
      </c>
      <c r="D6917" t="inlineStr">
        <is>
          <t>VÄSTRA GÖTALANDS LÄN</t>
        </is>
      </c>
      <c r="E6917" t="inlineStr">
        <is>
          <t>SKÖVDE</t>
        </is>
      </c>
      <c r="F6917" t="inlineStr">
        <is>
          <t>Kommuner</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65254-2021</t>
        </is>
      </c>
      <c r="B6918" s="1" t="n">
        <v>44515</v>
      </c>
      <c r="C6918" s="1" t="n">
        <v>46011</v>
      </c>
      <c r="D6918" t="inlineStr">
        <is>
          <t>VÄSTRA GÖTALANDS LÄN</t>
        </is>
      </c>
      <c r="E6918" t="inlineStr">
        <is>
          <t>TROLLHÄTTAN</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47371-2025</t>
        </is>
      </c>
      <c r="B6919" s="1" t="n">
        <v>45930.59351851852</v>
      </c>
      <c r="C6919" s="1" t="n">
        <v>46011</v>
      </c>
      <c r="D6919" t="inlineStr">
        <is>
          <t>VÄSTRA GÖTALANDS LÄN</t>
        </is>
      </c>
      <c r="E6919" t="inlineStr">
        <is>
          <t>GÖTENE</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47387-2025</t>
        </is>
      </c>
      <c r="B6920" s="1" t="n">
        <v>45930.60043981481</v>
      </c>
      <c r="C6920" s="1" t="n">
        <v>46011</v>
      </c>
      <c r="D6920" t="inlineStr">
        <is>
          <t>VÄSTRA GÖTALANDS LÄN</t>
        </is>
      </c>
      <c r="E6920" t="inlineStr">
        <is>
          <t>TIDAHOLM</t>
        </is>
      </c>
      <c r="F6920" t="inlineStr">
        <is>
          <t>Sveaskog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47388-2025</t>
        </is>
      </c>
      <c r="B6921" s="1" t="n">
        <v>45930.60120370371</v>
      </c>
      <c r="C6921" s="1" t="n">
        <v>46011</v>
      </c>
      <c r="D6921" t="inlineStr">
        <is>
          <t>VÄSTRA GÖTALANDS LÄN</t>
        </is>
      </c>
      <c r="E6921" t="inlineStr">
        <is>
          <t>GÖTENE</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47143-2025</t>
        </is>
      </c>
      <c r="B6922" s="1" t="n">
        <v>45929.7067824074</v>
      </c>
      <c r="C6922" s="1" t="n">
        <v>46011</v>
      </c>
      <c r="D6922" t="inlineStr">
        <is>
          <t>VÄSTRA GÖTALANDS LÄN</t>
        </is>
      </c>
      <c r="E6922" t="inlineStr">
        <is>
          <t>ALINGSÅS</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9375-2025</t>
        </is>
      </c>
      <c r="B6923" s="1" t="n">
        <v>45715.33446759259</v>
      </c>
      <c r="C6923" s="1" t="n">
        <v>46011</v>
      </c>
      <c r="D6923" t="inlineStr">
        <is>
          <t>VÄSTRA GÖTALANDS LÄN</t>
        </is>
      </c>
      <c r="E6923" t="inlineStr">
        <is>
          <t>ESSUNGA</t>
        </is>
      </c>
      <c r="F6923" t="inlineStr">
        <is>
          <t>Kyrkan</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46972-2025</t>
        </is>
      </c>
      <c r="B6924" s="1" t="n">
        <v>45929.50880787037</v>
      </c>
      <c r="C6924" s="1" t="n">
        <v>46011</v>
      </c>
      <c r="D6924" t="inlineStr">
        <is>
          <t>VÄSTRA GÖTALANDS LÄN</t>
        </is>
      </c>
      <c r="E6924" t="inlineStr">
        <is>
          <t>TÖREBODA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11820-2025</t>
        </is>
      </c>
      <c r="B6925" s="1" t="n">
        <v>45728.32152777778</v>
      </c>
      <c r="C6925" s="1" t="n">
        <v>46011</v>
      </c>
      <c r="D6925" t="inlineStr">
        <is>
          <t>VÄSTRA GÖTALANDS LÄN</t>
        </is>
      </c>
      <c r="E6925" t="inlineStr">
        <is>
          <t>GULLSPÅNG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46986-2025</t>
        </is>
      </c>
      <c r="B6926" s="1" t="n">
        <v>45929.5359375</v>
      </c>
      <c r="C6926" s="1" t="n">
        <v>46011</v>
      </c>
      <c r="D6926" t="inlineStr">
        <is>
          <t>VÄSTRA GÖTALANDS LÄN</t>
        </is>
      </c>
      <c r="E6926" t="inlineStr">
        <is>
          <t>VÄNERSBORG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7590-2024</t>
        </is>
      </c>
      <c r="B6927" s="1" t="n">
        <v>45348</v>
      </c>
      <c r="C6927" s="1" t="n">
        <v>46011</v>
      </c>
      <c r="D6927" t="inlineStr">
        <is>
          <t>VÄSTRA GÖTALANDS LÄN</t>
        </is>
      </c>
      <c r="E6927" t="inlineStr">
        <is>
          <t>VÄNERSBORG</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47389-2025</t>
        </is>
      </c>
      <c r="B6928" s="1" t="n">
        <v>45930.60195601852</v>
      </c>
      <c r="C6928" s="1" t="n">
        <v>46011</v>
      </c>
      <c r="D6928" t="inlineStr">
        <is>
          <t>VÄSTRA GÖTALANDS LÄN</t>
        </is>
      </c>
      <c r="E6928" t="inlineStr">
        <is>
          <t>GÖTENE</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62316-2022</t>
        </is>
      </c>
      <c r="B6929" s="1" t="n">
        <v>44916</v>
      </c>
      <c r="C6929" s="1" t="n">
        <v>46011</v>
      </c>
      <c r="D6929" t="inlineStr">
        <is>
          <t>VÄSTRA GÖTALANDS LÄN</t>
        </is>
      </c>
      <c r="E6929" t="inlineStr">
        <is>
          <t>BENGTSFORS</t>
        </is>
      </c>
      <c r="F6929" t="inlineStr">
        <is>
          <t>Bergvik skog väst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7655-2024</t>
        </is>
      </c>
      <c r="B6930" s="1" t="n">
        <v>45348.69953703704</v>
      </c>
      <c r="C6930" s="1" t="n">
        <v>46011</v>
      </c>
      <c r="D6930" t="inlineStr">
        <is>
          <t>VÄSTRA GÖTALANDS LÄN</t>
        </is>
      </c>
      <c r="E6930" t="inlineStr">
        <is>
          <t>VARA</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62356-2022</t>
        </is>
      </c>
      <c r="B6931" s="1" t="n">
        <v>44923</v>
      </c>
      <c r="C6931" s="1" t="n">
        <v>46011</v>
      </c>
      <c r="D6931" t="inlineStr">
        <is>
          <t>VÄSTRA GÖTALANDS LÄN</t>
        </is>
      </c>
      <c r="E6931" t="inlineStr">
        <is>
          <t>TRANEMO</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55328-2025</t>
        </is>
      </c>
      <c r="B6932" s="1" t="n">
        <v>45971.33905092593</v>
      </c>
      <c r="C6932" s="1" t="n">
        <v>46011</v>
      </c>
      <c r="D6932" t="inlineStr">
        <is>
          <t>VÄSTRA GÖTALANDS LÄN</t>
        </is>
      </c>
      <c r="E6932" t="inlineStr">
        <is>
          <t>MELLERUD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13114-2025</t>
        </is>
      </c>
      <c r="B6933" s="1" t="n">
        <v>45734.70657407407</v>
      </c>
      <c r="C6933" s="1" t="n">
        <v>46011</v>
      </c>
      <c r="D6933" t="inlineStr">
        <is>
          <t>VÄSTRA GÖTALANDS LÄN</t>
        </is>
      </c>
      <c r="E6933" t="inlineStr">
        <is>
          <t>MARK</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55345-2025</t>
        </is>
      </c>
      <c r="B6934" s="1" t="n">
        <v>45971.3496875</v>
      </c>
      <c r="C6934" s="1" t="n">
        <v>46011</v>
      </c>
      <c r="D6934" t="inlineStr">
        <is>
          <t>VÄSTRA GÖTALANDS LÄN</t>
        </is>
      </c>
      <c r="E6934" t="inlineStr">
        <is>
          <t>BENGTSFORS</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21401-2025</t>
        </is>
      </c>
      <c r="B6935" s="1" t="n">
        <v>45782</v>
      </c>
      <c r="C6935" s="1" t="n">
        <v>46011</v>
      </c>
      <c r="D6935" t="inlineStr">
        <is>
          <t>VÄSTRA GÖTALANDS LÄN</t>
        </is>
      </c>
      <c r="E6935" t="inlineStr">
        <is>
          <t>DALS-ED</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35004-2025</t>
        </is>
      </c>
      <c r="B6936" s="1" t="n">
        <v>45850.66271990741</v>
      </c>
      <c r="C6936" s="1" t="n">
        <v>46011</v>
      </c>
      <c r="D6936" t="inlineStr">
        <is>
          <t>VÄSTRA GÖTALANDS LÄN</t>
        </is>
      </c>
      <c r="E6936" t="inlineStr">
        <is>
          <t>ALINGSÅS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62643-2023</t>
        </is>
      </c>
      <c r="B6937" s="1" t="n">
        <v>45271.42447916666</v>
      </c>
      <c r="C6937" s="1" t="n">
        <v>46011</v>
      </c>
      <c r="D6937" t="inlineStr">
        <is>
          <t>VÄSTRA GÖTALANDS LÄN</t>
        </is>
      </c>
      <c r="E6937" t="inlineStr">
        <is>
          <t>FÄRGELANDA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35025-2025</t>
        </is>
      </c>
      <c r="B6938" s="1" t="n">
        <v>45851.98012731481</v>
      </c>
      <c r="C6938" s="1" t="n">
        <v>46011</v>
      </c>
      <c r="D6938" t="inlineStr">
        <is>
          <t>VÄSTRA GÖTALANDS LÄN</t>
        </is>
      </c>
      <c r="E6938" t="inlineStr">
        <is>
          <t>BENGTSFORS</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35026-2025</t>
        </is>
      </c>
      <c r="B6939" s="1" t="n">
        <v>45851.98951388889</v>
      </c>
      <c r="C6939" s="1" t="n">
        <v>46011</v>
      </c>
      <c r="D6939" t="inlineStr">
        <is>
          <t>VÄSTRA GÖTALANDS LÄN</t>
        </is>
      </c>
      <c r="E6939" t="inlineStr">
        <is>
          <t>BENGTSFORS</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47186-2025</t>
        </is>
      </c>
      <c r="B6940" s="1" t="n">
        <v>45930.32436342593</v>
      </c>
      <c r="C6940" s="1" t="n">
        <v>46011</v>
      </c>
      <c r="D6940" t="inlineStr">
        <is>
          <t>VÄSTRA GÖTALANDS LÄN</t>
        </is>
      </c>
      <c r="E6940" t="inlineStr">
        <is>
          <t>TIDAHOLM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34874-2025</t>
        </is>
      </c>
      <c r="B6941" s="1" t="n">
        <v>45849.45528935185</v>
      </c>
      <c r="C6941" s="1" t="n">
        <v>46011</v>
      </c>
      <c r="D6941" t="inlineStr">
        <is>
          <t>VÄSTRA GÖTALANDS LÄN</t>
        </is>
      </c>
      <c r="E6941" t="inlineStr">
        <is>
          <t>DALS-ED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47189-2025</t>
        </is>
      </c>
      <c r="B6942" s="1" t="n">
        <v>45930</v>
      </c>
      <c r="C6942" s="1" t="n">
        <v>46011</v>
      </c>
      <c r="D6942" t="inlineStr">
        <is>
          <t>VÄSTRA GÖTALANDS LÄN</t>
        </is>
      </c>
      <c r="E6942" t="inlineStr">
        <is>
          <t>GULLSPÅNG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22479-2022</t>
        </is>
      </c>
      <c r="B6943" s="1" t="n">
        <v>44713</v>
      </c>
      <c r="C6943" s="1" t="n">
        <v>46011</v>
      </c>
      <c r="D6943" t="inlineStr">
        <is>
          <t>VÄSTRA GÖTALANDS LÄN</t>
        </is>
      </c>
      <c r="E6943" t="inlineStr">
        <is>
          <t>FALKÖPING</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22515-2022</t>
        </is>
      </c>
      <c r="B6944" s="1" t="n">
        <v>44713.68042824074</v>
      </c>
      <c r="C6944" s="1" t="n">
        <v>46011</v>
      </c>
      <c r="D6944" t="inlineStr">
        <is>
          <t>VÄSTRA GÖTALANDS LÄN</t>
        </is>
      </c>
      <c r="E6944" t="inlineStr">
        <is>
          <t>VÅRGÅRDA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22517-2022</t>
        </is>
      </c>
      <c r="B6945" s="1" t="n">
        <v>44713.68208333333</v>
      </c>
      <c r="C6945" s="1" t="n">
        <v>46011</v>
      </c>
      <c r="D6945" t="inlineStr">
        <is>
          <t>VÄSTRA GÖTALANDS LÄN</t>
        </is>
      </c>
      <c r="E6945" t="inlineStr">
        <is>
          <t>VÅRGÅRDA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5663-2025</t>
        </is>
      </c>
      <c r="B6946" s="1" t="n">
        <v>45693.82982638889</v>
      </c>
      <c r="C6946" s="1" t="n">
        <v>46011</v>
      </c>
      <c r="D6946" t="inlineStr">
        <is>
          <t>VÄSTRA GÖTALANDS LÄN</t>
        </is>
      </c>
      <c r="E6946" t="inlineStr">
        <is>
          <t>VÅRGÅRDA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34978-2025</t>
        </is>
      </c>
      <c r="B6947" s="1" t="n">
        <v>45849.68278935185</v>
      </c>
      <c r="C6947" s="1" t="n">
        <v>46011</v>
      </c>
      <c r="D6947" t="inlineStr">
        <is>
          <t>VÄSTRA GÖTALANDS LÄN</t>
        </is>
      </c>
      <c r="E6947" t="inlineStr">
        <is>
          <t>MUNKEDAL</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44421-2024</t>
        </is>
      </c>
      <c r="B6948" s="1" t="n">
        <v>45573.86858796296</v>
      </c>
      <c r="C6948" s="1" t="n">
        <v>46011</v>
      </c>
      <c r="D6948" t="inlineStr">
        <is>
          <t>VÄSTRA GÖTALANDS LÄN</t>
        </is>
      </c>
      <c r="E6948" t="inlineStr">
        <is>
          <t>VÅRGÅRDA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11805-2025</t>
        </is>
      </c>
      <c r="B6949" s="1" t="n">
        <v>45727.88486111111</v>
      </c>
      <c r="C6949" s="1" t="n">
        <v>46011</v>
      </c>
      <c r="D6949" t="inlineStr">
        <is>
          <t>VÄSTRA GÖTALANDS LÄN</t>
        </is>
      </c>
      <c r="E6949" t="inlineStr">
        <is>
          <t>GULLSPÅNG</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5702-2025</t>
        </is>
      </c>
      <c r="B6950" s="1" t="n">
        <v>45694.43144675926</v>
      </c>
      <c r="C6950" s="1" t="n">
        <v>46011</v>
      </c>
      <c r="D6950" t="inlineStr">
        <is>
          <t>VÄSTRA GÖTALANDS LÄN</t>
        </is>
      </c>
      <c r="E6950" t="inlineStr">
        <is>
          <t>FALKÖPING</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55729-2025</t>
        </is>
      </c>
      <c r="B6951" s="1" t="n">
        <v>45972.54129629629</v>
      </c>
      <c r="C6951" s="1" t="n">
        <v>46011</v>
      </c>
      <c r="D6951" t="inlineStr">
        <is>
          <t>VÄSTRA GÖTALANDS LÄN</t>
        </is>
      </c>
      <c r="E6951" t="inlineStr">
        <is>
          <t>TÖREBODA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20536-2022</t>
        </is>
      </c>
      <c r="B6952" s="1" t="n">
        <v>44700</v>
      </c>
      <c r="C6952" s="1" t="n">
        <v>46011</v>
      </c>
      <c r="D6952" t="inlineStr">
        <is>
          <t>VÄSTRA GÖTALANDS LÄN</t>
        </is>
      </c>
      <c r="E6952" t="inlineStr">
        <is>
          <t>VARA</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59885-2022</t>
        </is>
      </c>
      <c r="B6953" s="1" t="n">
        <v>44908.70862268518</v>
      </c>
      <c r="C6953" s="1" t="n">
        <v>46011</v>
      </c>
      <c r="D6953" t="inlineStr">
        <is>
          <t>VÄSTRA GÖTALANDS LÄN</t>
        </is>
      </c>
      <c r="E6953" t="inlineStr">
        <is>
          <t>ULRICEHAMN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59926-2022</t>
        </is>
      </c>
      <c r="B6954" s="1" t="n">
        <v>44909.33916666666</v>
      </c>
      <c r="C6954" s="1" t="n">
        <v>46011</v>
      </c>
      <c r="D6954" t="inlineStr">
        <is>
          <t>VÄSTRA GÖTALANDS LÄN</t>
        </is>
      </c>
      <c r="E6954" t="inlineStr">
        <is>
          <t>MARK</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11770-2022</t>
        </is>
      </c>
      <c r="B6955" s="1" t="n">
        <v>44634</v>
      </c>
      <c r="C6955" s="1" t="n">
        <v>46011</v>
      </c>
      <c r="D6955" t="inlineStr">
        <is>
          <t>VÄSTRA GÖTALANDS LÄN</t>
        </is>
      </c>
      <c r="E6955" t="inlineStr">
        <is>
          <t>UDDEVALLA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46833-2025</t>
        </is>
      </c>
      <c r="B6956" s="1" t="n">
        <v>45927.68620370371</v>
      </c>
      <c r="C6956" s="1" t="n">
        <v>46011</v>
      </c>
      <c r="D6956" t="inlineStr">
        <is>
          <t>VÄSTRA GÖTALANDS LÄN</t>
        </is>
      </c>
      <c r="E6956" t="inlineStr">
        <is>
          <t>VÅRGÅRDA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13710-2025</t>
        </is>
      </c>
      <c r="B6957" s="1" t="n">
        <v>45737.34603009259</v>
      </c>
      <c r="C6957" s="1" t="n">
        <v>46011</v>
      </c>
      <c r="D6957" t="inlineStr">
        <is>
          <t>VÄSTRA GÖTALANDS LÄN</t>
        </is>
      </c>
      <c r="E6957" t="inlineStr">
        <is>
          <t>UDDEVALLA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46966-2025</t>
        </is>
      </c>
      <c r="B6958" s="1" t="n">
        <v>45929.49510416666</v>
      </c>
      <c r="C6958" s="1" t="n">
        <v>46011</v>
      </c>
      <c r="D6958" t="inlineStr">
        <is>
          <t>VÄSTRA GÖTALANDS LÄN</t>
        </is>
      </c>
      <c r="E6958" t="inlineStr">
        <is>
          <t>BORÅS</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59674-2023</t>
        </is>
      </c>
      <c r="B6959" s="1" t="n">
        <v>45255</v>
      </c>
      <c r="C6959" s="1" t="n">
        <v>46011</v>
      </c>
      <c r="D6959" t="inlineStr">
        <is>
          <t>VÄSTRA GÖTALANDS LÄN</t>
        </is>
      </c>
      <c r="E6959" t="inlineStr">
        <is>
          <t>UDDEVALLA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56344-2024</t>
        </is>
      </c>
      <c r="B6960" s="1" t="n">
        <v>45624.84674768519</v>
      </c>
      <c r="C6960" s="1" t="n">
        <v>46011</v>
      </c>
      <c r="D6960" t="inlineStr">
        <is>
          <t>VÄSTRA GÖTALANDS LÄN</t>
        </is>
      </c>
      <c r="E6960" t="inlineStr">
        <is>
          <t>DALS-ED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56357-2024</t>
        </is>
      </c>
      <c r="B6961" s="1" t="n">
        <v>45624.96618055556</v>
      </c>
      <c r="C6961" s="1" t="n">
        <v>46011</v>
      </c>
      <c r="D6961" t="inlineStr">
        <is>
          <t>VÄSTRA GÖTALANDS LÄN</t>
        </is>
      </c>
      <c r="E6961" t="inlineStr">
        <is>
          <t>ÅMÅL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35144-2025</t>
        </is>
      </c>
      <c r="B6962" s="1" t="n">
        <v>45852.65833333333</v>
      </c>
      <c r="C6962" s="1" t="n">
        <v>46011</v>
      </c>
      <c r="D6962" t="inlineStr">
        <is>
          <t>VÄSTRA GÖTALANDS LÄN</t>
        </is>
      </c>
      <c r="E6962" t="inlineStr">
        <is>
          <t>LYSEKIL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47083-2025</t>
        </is>
      </c>
      <c r="B6963" s="1" t="n">
        <v>45929.64208333333</v>
      </c>
      <c r="C6963" s="1" t="n">
        <v>46011</v>
      </c>
      <c r="D6963" t="inlineStr">
        <is>
          <t>VÄSTRA GÖTALANDS LÄN</t>
        </is>
      </c>
      <c r="E6963" t="inlineStr">
        <is>
          <t>UDDEVALLA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28171-2022</t>
        </is>
      </c>
      <c r="B6964" s="1" t="n">
        <v>44746</v>
      </c>
      <c r="C6964" s="1" t="n">
        <v>46011</v>
      </c>
      <c r="D6964" t="inlineStr">
        <is>
          <t>VÄSTRA GÖTALANDS LÄN</t>
        </is>
      </c>
      <c r="E6964" t="inlineStr">
        <is>
          <t>BORÅS</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52712-2023</t>
        </is>
      </c>
      <c r="B6965" s="1" t="n">
        <v>45225.84898148148</v>
      </c>
      <c r="C6965" s="1" t="n">
        <v>46011</v>
      </c>
      <c r="D6965" t="inlineStr">
        <is>
          <t>VÄSTRA GÖTALANDS LÄN</t>
        </is>
      </c>
      <c r="E6965" t="inlineStr">
        <is>
          <t>ULRICEHAMN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59292-2023</t>
        </is>
      </c>
      <c r="B6966" s="1" t="n">
        <v>45253</v>
      </c>
      <c r="C6966" s="1" t="n">
        <v>46011</v>
      </c>
      <c r="D6966" t="inlineStr">
        <is>
          <t>VÄSTRA GÖTALANDS LÄN</t>
        </is>
      </c>
      <c r="E6966" t="inlineStr">
        <is>
          <t>ALINGSÅS</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44644-2021</t>
        </is>
      </c>
      <c r="B6967" s="1" t="n">
        <v>44437.71910879629</v>
      </c>
      <c r="C6967" s="1" t="n">
        <v>46011</v>
      </c>
      <c r="D6967" t="inlineStr">
        <is>
          <t>VÄSTRA GÖTALANDS LÄN</t>
        </is>
      </c>
      <c r="E6967" t="inlineStr">
        <is>
          <t>GULLSPÅNG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52714-2023</t>
        </is>
      </c>
      <c r="B6968" s="1" t="n">
        <v>45225.85842592592</v>
      </c>
      <c r="C6968" s="1" t="n">
        <v>46011</v>
      </c>
      <c r="D6968" t="inlineStr">
        <is>
          <t>VÄSTRA GÖTALANDS LÄN</t>
        </is>
      </c>
      <c r="E6968" t="inlineStr">
        <is>
          <t>ULRICEHAMN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52763-2023</t>
        </is>
      </c>
      <c r="B6969" s="1" t="n">
        <v>45226.28296296296</v>
      </c>
      <c r="C6969" s="1" t="n">
        <v>46011</v>
      </c>
      <c r="D6969" t="inlineStr">
        <is>
          <t>VÄSTRA GÖTALANDS LÄN</t>
        </is>
      </c>
      <c r="E6969" t="inlineStr">
        <is>
          <t>ULRICEHAMN</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26565-2025</t>
        </is>
      </c>
      <c r="B6970" s="1" t="n">
        <v>45807.6665625</v>
      </c>
      <c r="C6970" s="1" t="n">
        <v>46011</v>
      </c>
      <c r="D6970" t="inlineStr">
        <is>
          <t>VÄSTRA GÖTALANDS LÄN</t>
        </is>
      </c>
      <c r="E6970" t="inlineStr">
        <is>
          <t>MARK</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47451-2025</t>
        </is>
      </c>
      <c r="B6971" s="1" t="n">
        <v>45930</v>
      </c>
      <c r="C6971" s="1" t="n">
        <v>46011</v>
      </c>
      <c r="D6971" t="inlineStr">
        <is>
          <t>VÄSTRA GÖTALANDS LÄN</t>
        </is>
      </c>
      <c r="E6971" t="inlineStr">
        <is>
          <t>GULLSPÅNG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28495-2024</t>
        </is>
      </c>
      <c r="B6972" s="1" t="n">
        <v>45477</v>
      </c>
      <c r="C6972" s="1" t="n">
        <v>46011</v>
      </c>
      <c r="D6972" t="inlineStr">
        <is>
          <t>VÄSTRA GÖTALANDS LÄN</t>
        </is>
      </c>
      <c r="E6972" t="inlineStr">
        <is>
          <t>TIDAHOLM</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56456-2022</t>
        </is>
      </c>
      <c r="B6973" s="1" t="n">
        <v>44893.31987268518</v>
      </c>
      <c r="C6973" s="1" t="n">
        <v>46011</v>
      </c>
      <c r="D6973" t="inlineStr">
        <is>
          <t>VÄSTRA GÖTALANDS LÄN</t>
        </is>
      </c>
      <c r="E6973" t="inlineStr">
        <is>
          <t>VARA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26568-2023</t>
        </is>
      </c>
      <c r="B6974" s="1" t="n">
        <v>45092</v>
      </c>
      <c r="C6974" s="1" t="n">
        <v>46011</v>
      </c>
      <c r="D6974" t="inlineStr">
        <is>
          <t>VÄSTRA GÖTALANDS LÄN</t>
        </is>
      </c>
      <c r="E6974" t="inlineStr">
        <is>
          <t>LERUM</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4935-2023</t>
        </is>
      </c>
      <c r="B6975" s="1" t="n">
        <v>44958</v>
      </c>
      <c r="C6975" s="1" t="n">
        <v>46011</v>
      </c>
      <c r="D6975" t="inlineStr">
        <is>
          <t>VÄSTRA GÖTALANDS LÄN</t>
        </is>
      </c>
      <c r="E6975" t="inlineStr">
        <is>
          <t>BORÅS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34902-2025</t>
        </is>
      </c>
      <c r="B6976" s="1" t="n">
        <v>45849.50798611111</v>
      </c>
      <c r="C6976" s="1" t="n">
        <v>46011</v>
      </c>
      <c r="D6976" t="inlineStr">
        <is>
          <t>VÄSTRA GÖTALANDS LÄN</t>
        </is>
      </c>
      <c r="E6976" t="inlineStr">
        <is>
          <t>MARK</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46928-2025</t>
        </is>
      </c>
      <c r="B6977" s="1" t="n">
        <v>45929.44091435185</v>
      </c>
      <c r="C6977" s="1" t="n">
        <v>46011</v>
      </c>
      <c r="D6977" t="inlineStr">
        <is>
          <t>VÄSTRA GÖTALANDS LÄN</t>
        </is>
      </c>
      <c r="E6977" t="inlineStr">
        <is>
          <t>GRÄSTORP</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6925-2023</t>
        </is>
      </c>
      <c r="B6978" s="1" t="n">
        <v>44967</v>
      </c>
      <c r="C6978" s="1" t="n">
        <v>46011</v>
      </c>
      <c r="D6978" t="inlineStr">
        <is>
          <t>VÄSTRA GÖTALANDS LÄN</t>
        </is>
      </c>
      <c r="E6978" t="inlineStr">
        <is>
          <t>GÖTENE</t>
        </is>
      </c>
      <c r="F6978" t="inlineStr">
        <is>
          <t>Kyrkan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46959-2025</t>
        </is>
      </c>
      <c r="B6979" s="1" t="n">
        <v>45929.48538194445</v>
      </c>
      <c r="C6979" s="1" t="n">
        <v>46011</v>
      </c>
      <c r="D6979" t="inlineStr">
        <is>
          <t>VÄSTRA GÖTALANDS LÄN</t>
        </is>
      </c>
      <c r="E6979" t="inlineStr">
        <is>
          <t>GÖTENE</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53307-2024</t>
        </is>
      </c>
      <c r="B6980" s="1" t="n">
        <v>45614.39129629629</v>
      </c>
      <c r="C6980" s="1" t="n">
        <v>46011</v>
      </c>
      <c r="D6980" t="inlineStr">
        <is>
          <t>VÄSTRA GÖTALANDS LÄN</t>
        </is>
      </c>
      <c r="E6980" t="inlineStr">
        <is>
          <t>MELLERUD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42526-2024</t>
        </is>
      </c>
      <c r="B6981" s="1" t="n">
        <v>45565.56991898148</v>
      </c>
      <c r="C6981" s="1" t="n">
        <v>46011</v>
      </c>
      <c r="D6981" t="inlineStr">
        <is>
          <t>VÄSTRA GÖTALANDS LÄN</t>
        </is>
      </c>
      <c r="E6981" t="inlineStr">
        <is>
          <t>LERUM</t>
        </is>
      </c>
      <c r="F6981" t="inlineStr">
        <is>
          <t>Kyrkan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42552-2024</t>
        </is>
      </c>
      <c r="B6982" s="1" t="n">
        <v>45565.61814814815</v>
      </c>
      <c r="C6982" s="1" t="n">
        <v>46011</v>
      </c>
      <c r="D6982" t="inlineStr">
        <is>
          <t>VÄSTRA GÖTALANDS LÄN</t>
        </is>
      </c>
      <c r="E6982" t="inlineStr">
        <is>
          <t>VÅRGÅRDA</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55581-2025</t>
        </is>
      </c>
      <c r="B6983" s="1" t="n">
        <v>45971.67520833333</v>
      </c>
      <c r="C6983" s="1" t="n">
        <v>46011</v>
      </c>
      <c r="D6983" t="inlineStr">
        <is>
          <t>VÄSTRA GÖTALANDS LÄN</t>
        </is>
      </c>
      <c r="E6983" t="inlineStr">
        <is>
          <t>ULRICEHAMN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20721-2025</t>
        </is>
      </c>
      <c r="B6984" s="1" t="n">
        <v>45776.50532407407</v>
      </c>
      <c r="C6984" s="1" t="n">
        <v>46011</v>
      </c>
      <c r="D6984" t="inlineStr">
        <is>
          <t>VÄSTRA GÖTALANDS LÄN</t>
        </is>
      </c>
      <c r="E6984" t="inlineStr">
        <is>
          <t>SKARA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55706-2025</t>
        </is>
      </c>
      <c r="B6985" s="1" t="n">
        <v>45972.47302083333</v>
      </c>
      <c r="C6985" s="1" t="n">
        <v>46011</v>
      </c>
      <c r="D6985" t="inlineStr">
        <is>
          <t>VÄSTRA GÖTALANDS LÄN</t>
        </is>
      </c>
      <c r="E6985" t="inlineStr">
        <is>
          <t>VÅRGÅRDA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63143-2021</t>
        </is>
      </c>
      <c r="B6986" s="1" t="n">
        <v>44505.79517361111</v>
      </c>
      <c r="C6986" s="1" t="n">
        <v>46011</v>
      </c>
      <c r="D6986" t="inlineStr">
        <is>
          <t>VÄSTRA GÖTALANDS LÄN</t>
        </is>
      </c>
      <c r="E6986" t="inlineStr">
        <is>
          <t>ALINGSÅS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47103-2025</t>
        </is>
      </c>
      <c r="B6987" s="1" t="n">
        <v>45929.65766203704</v>
      </c>
      <c r="C6987" s="1" t="n">
        <v>46011</v>
      </c>
      <c r="D6987" t="inlineStr">
        <is>
          <t>VÄSTRA GÖTALANDS LÄN</t>
        </is>
      </c>
      <c r="E6987" t="inlineStr">
        <is>
          <t>UDDEVALLA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46823-2025</t>
        </is>
      </c>
      <c r="B6988" s="1" t="n">
        <v>45926.79550925926</v>
      </c>
      <c r="C6988" s="1" t="n">
        <v>46011</v>
      </c>
      <c r="D6988" t="inlineStr">
        <is>
          <t>VÄSTRA GÖTALANDS LÄN</t>
        </is>
      </c>
      <c r="E6988" t="inlineStr">
        <is>
          <t>VÅRGÅRDA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46846-2025</t>
        </is>
      </c>
      <c r="B6989" s="1" t="n">
        <v>45928.68194444444</v>
      </c>
      <c r="C6989" s="1" t="n">
        <v>46011</v>
      </c>
      <c r="D6989" t="inlineStr">
        <is>
          <t>VÄSTRA GÖTALANDS LÄN</t>
        </is>
      </c>
      <c r="E6989" t="inlineStr">
        <is>
          <t>ALINGSÅS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48983-2024</t>
        </is>
      </c>
      <c r="B6990" s="1" t="n">
        <v>45594.46991898148</v>
      </c>
      <c r="C6990" s="1" t="n">
        <v>46011</v>
      </c>
      <c r="D6990" t="inlineStr">
        <is>
          <t>VÄSTRA GÖTALANDS LÄN</t>
        </is>
      </c>
      <c r="E6990" t="inlineStr">
        <is>
          <t>SKÖVDE</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52420-2024</t>
        </is>
      </c>
      <c r="B6991" s="1" t="n">
        <v>45609.46583333334</v>
      </c>
      <c r="C6991" s="1" t="n">
        <v>46011</v>
      </c>
      <c r="D6991" t="inlineStr">
        <is>
          <t>VÄSTRA GÖTALANDS LÄN</t>
        </is>
      </c>
      <c r="E6991" t="inlineStr">
        <is>
          <t>FALKÖPING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53394-2024</t>
        </is>
      </c>
      <c r="B6992" s="1" t="n">
        <v>45614.48385416667</v>
      </c>
      <c r="C6992" s="1" t="n">
        <v>46011</v>
      </c>
      <c r="D6992" t="inlineStr">
        <is>
          <t>VÄSTRA GÖTALANDS LÄN</t>
        </is>
      </c>
      <c r="E6992" t="inlineStr">
        <is>
          <t>TIDAHOLM</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47383-2025</t>
        </is>
      </c>
      <c r="B6993" s="1" t="n">
        <v>45930.59738425926</v>
      </c>
      <c r="C6993" s="1" t="n">
        <v>46011</v>
      </c>
      <c r="D6993" t="inlineStr">
        <is>
          <t>VÄSTRA GÖTALANDS LÄN</t>
        </is>
      </c>
      <c r="E6993" t="inlineStr">
        <is>
          <t>GÖTENE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47164-2025</t>
        </is>
      </c>
      <c r="B6994" s="1" t="n">
        <v>45929.75582175926</v>
      </c>
      <c r="C6994" s="1" t="n">
        <v>46011</v>
      </c>
      <c r="D6994" t="inlineStr">
        <is>
          <t>VÄSTRA GÖTALANDS LÄN</t>
        </is>
      </c>
      <c r="E6994" t="inlineStr">
        <is>
          <t>DALS-ED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44310-2024</t>
        </is>
      </c>
      <c r="B6995" s="1" t="n">
        <v>45573.57309027778</v>
      </c>
      <c r="C6995" s="1" t="n">
        <v>46011</v>
      </c>
      <c r="D6995" t="inlineStr">
        <is>
          <t>VÄSTRA GÖTALANDS LÄN</t>
        </is>
      </c>
      <c r="E6995" t="inlineStr">
        <is>
          <t>HJO</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46364-2024</t>
        </is>
      </c>
      <c r="B6996" s="1" t="n">
        <v>45582.3631712963</v>
      </c>
      <c r="C6996" s="1" t="n">
        <v>46011</v>
      </c>
      <c r="D6996" t="inlineStr">
        <is>
          <t>VÄSTRA GÖTALANDS LÄN</t>
        </is>
      </c>
      <c r="E6996" t="inlineStr">
        <is>
          <t>TROLLHÄTTAN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34244-2025</t>
        </is>
      </c>
      <c r="B6997" s="1" t="n">
        <v>45844</v>
      </c>
      <c r="C6997" s="1" t="n">
        <v>46011</v>
      </c>
      <c r="D6997" t="inlineStr">
        <is>
          <t>VÄSTRA GÖTALANDS LÄN</t>
        </is>
      </c>
      <c r="E6997" t="inlineStr">
        <is>
          <t>KUNGÄLV</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55439-2025</t>
        </is>
      </c>
      <c r="B6998" s="1" t="n">
        <v>45971.48627314815</v>
      </c>
      <c r="C6998" s="1" t="n">
        <v>46011</v>
      </c>
      <c r="D6998" t="inlineStr">
        <is>
          <t>VÄSTRA GÖTALANDS LÄN</t>
        </is>
      </c>
      <c r="E6998" t="inlineStr">
        <is>
          <t>VÄNERSBORG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47365-2025</t>
        </is>
      </c>
      <c r="B6999" s="1" t="n">
        <v>45930</v>
      </c>
      <c r="C6999" s="1" t="n">
        <v>46011</v>
      </c>
      <c r="D6999" t="inlineStr">
        <is>
          <t>VÄSTRA GÖTALANDS LÄN</t>
        </is>
      </c>
      <c r="E6999" t="inlineStr">
        <is>
          <t>GULLSPÅNG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34956-2025</t>
        </is>
      </c>
      <c r="B7000" s="1" t="n">
        <v>45849.60616898148</v>
      </c>
      <c r="C7000" s="1" t="n">
        <v>46011</v>
      </c>
      <c r="D7000" t="inlineStr">
        <is>
          <t>VÄSTRA GÖTALANDS LÄN</t>
        </is>
      </c>
      <c r="E7000" t="inlineStr">
        <is>
          <t>SVENLJUNGA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18248-2025</t>
        </is>
      </c>
      <c r="B7001" s="1" t="n">
        <v>45761</v>
      </c>
      <c r="C7001" s="1" t="n">
        <v>46011</v>
      </c>
      <c r="D7001" t="inlineStr">
        <is>
          <t>VÄSTRA GÖTALANDS LÄN</t>
        </is>
      </c>
      <c r="E7001" t="inlineStr">
        <is>
          <t>KARLSBORG</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45529-2024</t>
        </is>
      </c>
      <c r="B7002" s="1" t="n">
        <v>45579.28255787037</v>
      </c>
      <c r="C7002" s="1" t="n">
        <v>46011</v>
      </c>
      <c r="D7002" t="inlineStr">
        <is>
          <t>VÄSTRA GÖTALANDS LÄN</t>
        </is>
      </c>
      <c r="E7002" t="inlineStr">
        <is>
          <t>ULRICEHAMN</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534-2024</t>
        </is>
      </c>
      <c r="B7003" s="1" t="n">
        <v>45299</v>
      </c>
      <c r="C7003" s="1" t="n">
        <v>46011</v>
      </c>
      <c r="D7003" t="inlineStr">
        <is>
          <t>VÄSTRA GÖTALANDS LÄN</t>
        </is>
      </c>
      <c r="E7003" t="inlineStr">
        <is>
          <t>ULRICEHAMN</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35003-2025</t>
        </is>
      </c>
      <c r="B7004" s="1" t="n">
        <v>45850.66096064815</v>
      </c>
      <c r="C7004" s="1" t="n">
        <v>46011</v>
      </c>
      <c r="D7004" t="inlineStr">
        <is>
          <t>VÄSTRA GÖTALANDS LÄN</t>
        </is>
      </c>
      <c r="E7004" t="inlineStr">
        <is>
          <t>ALINGSÅS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45059-2021</t>
        </is>
      </c>
      <c r="B7005" s="1" t="n">
        <v>44439.34944444444</v>
      </c>
      <c r="C7005" s="1" t="n">
        <v>46011</v>
      </c>
      <c r="D7005" t="inlineStr">
        <is>
          <t>VÄSTRA GÖTALANDS LÄN</t>
        </is>
      </c>
      <c r="E7005" t="inlineStr">
        <is>
          <t>GULLSPÅNG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9788-2025</t>
        </is>
      </c>
      <c r="B7006" s="1" t="n">
        <v>45716.54331018519</v>
      </c>
      <c r="C7006" s="1" t="n">
        <v>46011</v>
      </c>
      <c r="D7006" t="inlineStr">
        <is>
          <t>VÄSTRA GÖTALANDS LÄN</t>
        </is>
      </c>
      <c r="E7006" t="inlineStr">
        <is>
          <t>KARLSBORG</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55596-2025</t>
        </is>
      </c>
      <c r="B7007" s="1" t="n">
        <v>45971</v>
      </c>
      <c r="C7007" s="1" t="n">
        <v>46011</v>
      </c>
      <c r="D7007" t="inlineStr">
        <is>
          <t>VÄSTRA GÖTALANDS LÄN</t>
        </is>
      </c>
      <c r="E7007" t="inlineStr">
        <is>
          <t>TÖREBODA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1037-2024</t>
        </is>
      </c>
      <c r="B7008" s="1" t="n">
        <v>45301</v>
      </c>
      <c r="C7008" s="1" t="n">
        <v>46011</v>
      </c>
      <c r="D7008" t="inlineStr">
        <is>
          <t>VÄSTRA GÖTALANDS LÄN</t>
        </is>
      </c>
      <c r="E7008" t="inlineStr">
        <is>
          <t>TRANEMO</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18294-2025</t>
        </is>
      </c>
      <c r="B7009" s="1" t="n">
        <v>45762.41231481481</v>
      </c>
      <c r="C7009" s="1" t="n">
        <v>46011</v>
      </c>
      <c r="D7009" t="inlineStr">
        <is>
          <t>VÄSTRA GÖTALANDS LÄN</t>
        </is>
      </c>
      <c r="E7009" t="inlineStr">
        <is>
          <t>BORÅS</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55669-2025</t>
        </is>
      </c>
      <c r="B7010" s="1" t="n">
        <v>45972.4053587963</v>
      </c>
      <c r="C7010" s="1" t="n">
        <v>46011</v>
      </c>
      <c r="D7010" t="inlineStr">
        <is>
          <t>VÄSTRA GÖTALANDS LÄN</t>
        </is>
      </c>
      <c r="E7010" t="inlineStr">
        <is>
          <t>TÖREBODA</t>
        </is>
      </c>
      <c r="F7010" t="inlineStr">
        <is>
          <t>Sveaskog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6251-2023</t>
        </is>
      </c>
      <c r="B7011" s="1" t="n">
        <v>44965.32954861111</v>
      </c>
      <c r="C7011" s="1" t="n">
        <v>46011</v>
      </c>
      <c r="D7011" t="inlineStr">
        <is>
          <t>VÄSTRA GÖTALANDS LÄN</t>
        </is>
      </c>
      <c r="E7011" t="inlineStr">
        <is>
          <t>TROLLHÄTTAN</t>
        </is>
      </c>
      <c r="G7011" t="n">
        <v>15.4</v>
      </c>
      <c r="H7011" t="n">
        <v>0</v>
      </c>
      <c r="I7011" t="n">
        <v>0</v>
      </c>
      <c r="J7011" t="n">
        <v>0</v>
      </c>
      <c r="K7011" t="n">
        <v>0</v>
      </c>
      <c r="L7011" t="n">
        <v>0</v>
      </c>
      <c r="M7011" t="n">
        <v>0</v>
      </c>
      <c r="N7011" t="n">
        <v>0</v>
      </c>
      <c r="O7011" t="n">
        <v>0</v>
      </c>
      <c r="P7011" t="n">
        <v>0</v>
      </c>
      <c r="Q7011" t="n">
        <v>0</v>
      </c>
      <c r="R7011" s="2" t="inlineStr"/>
    </row>
    <row r="7012" ht="15" customHeight="1">
      <c r="A7012" t="inlineStr">
        <is>
          <t>A 6252-2023</t>
        </is>
      </c>
      <c r="B7012" s="1" t="n">
        <v>44965.33583333333</v>
      </c>
      <c r="C7012" s="1" t="n">
        <v>46011</v>
      </c>
      <c r="D7012" t="inlineStr">
        <is>
          <t>VÄSTRA GÖTALANDS LÄN</t>
        </is>
      </c>
      <c r="E7012" t="inlineStr">
        <is>
          <t>ULRICEHAMN</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46979-2025</t>
        </is>
      </c>
      <c r="B7013" s="1" t="n">
        <v>45929.52040509259</v>
      </c>
      <c r="C7013" s="1" t="n">
        <v>46011</v>
      </c>
      <c r="D7013" t="inlineStr">
        <is>
          <t>VÄSTRA GÖTALANDS LÄN</t>
        </is>
      </c>
      <c r="E7013" t="inlineStr">
        <is>
          <t>DALS-ED</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35024-2025</t>
        </is>
      </c>
      <c r="B7014" s="1" t="n">
        <v>45851.97327546297</v>
      </c>
      <c r="C7014" s="1" t="n">
        <v>46011</v>
      </c>
      <c r="D7014" t="inlineStr">
        <is>
          <t>VÄSTRA GÖTALANDS LÄN</t>
        </is>
      </c>
      <c r="E7014" t="inlineStr">
        <is>
          <t>BENGTSFORS</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6286-2023</t>
        </is>
      </c>
      <c r="B7015" s="1" t="n">
        <v>44965.42309027778</v>
      </c>
      <c r="C7015" s="1" t="n">
        <v>46011</v>
      </c>
      <c r="D7015" t="inlineStr">
        <is>
          <t>VÄSTRA GÖTALANDS LÄN</t>
        </is>
      </c>
      <c r="E7015" t="inlineStr">
        <is>
          <t>TRANEMO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46091-2024</t>
        </is>
      </c>
      <c r="B7016" s="1" t="n">
        <v>45581.35340277778</v>
      </c>
      <c r="C7016" s="1" t="n">
        <v>46011</v>
      </c>
      <c r="D7016" t="inlineStr">
        <is>
          <t>VÄSTRA GÖTALANDS LÄN</t>
        </is>
      </c>
      <c r="E7016" t="inlineStr">
        <is>
          <t>HERRLJUNGA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28073-2023</t>
        </is>
      </c>
      <c r="B7017" s="1" t="n">
        <v>45099</v>
      </c>
      <c r="C7017" s="1" t="n">
        <v>46011</v>
      </c>
      <c r="D7017" t="inlineStr">
        <is>
          <t>VÄSTRA GÖTALANDS LÄN</t>
        </is>
      </c>
      <c r="E7017" t="inlineStr">
        <is>
          <t>SKARA</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55324-2025</t>
        </is>
      </c>
      <c r="B7018" s="1" t="n">
        <v>45971.33519675926</v>
      </c>
      <c r="C7018" s="1" t="n">
        <v>46011</v>
      </c>
      <c r="D7018" t="inlineStr">
        <is>
          <t>VÄSTRA GÖTALANDS LÄN</t>
        </is>
      </c>
      <c r="E7018" t="inlineStr">
        <is>
          <t>LILLA EDET</t>
        </is>
      </c>
      <c r="F7018" t="inlineStr">
        <is>
          <t>Sveaskog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63206-2023</t>
        </is>
      </c>
      <c r="B7019" s="1" t="n">
        <v>45273</v>
      </c>
      <c r="C7019" s="1" t="n">
        <v>46011</v>
      </c>
      <c r="D7019" t="inlineStr">
        <is>
          <t>VÄSTRA GÖTALANDS LÄN</t>
        </is>
      </c>
      <c r="E7019" t="inlineStr">
        <is>
          <t>GULLSPÅNG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55331-2025</t>
        </is>
      </c>
      <c r="B7020" s="1" t="n">
        <v>45971.34190972222</v>
      </c>
      <c r="C7020" s="1" t="n">
        <v>46011</v>
      </c>
      <c r="D7020" t="inlineStr">
        <is>
          <t>VÄSTRA GÖTALANDS LÄN</t>
        </is>
      </c>
      <c r="E7020" t="inlineStr">
        <is>
          <t>VÄNERSBORG</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35139-2025</t>
        </is>
      </c>
      <c r="B7021" s="1" t="n">
        <v>45852.64978009259</v>
      </c>
      <c r="C7021" s="1" t="n">
        <v>46011</v>
      </c>
      <c r="D7021" t="inlineStr">
        <is>
          <t>VÄSTRA GÖTALANDS LÄN</t>
        </is>
      </c>
      <c r="E7021" t="inlineStr">
        <is>
          <t>LYSEKIL</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63226-2023</t>
        </is>
      </c>
      <c r="B7022" s="1" t="n">
        <v>45273</v>
      </c>
      <c r="C7022" s="1" t="n">
        <v>46011</v>
      </c>
      <c r="D7022" t="inlineStr">
        <is>
          <t>VÄSTRA GÖTALANDS LÄN</t>
        </is>
      </c>
      <c r="E7022" t="inlineStr">
        <is>
          <t>HERRLJUNGA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35153-2025</t>
        </is>
      </c>
      <c r="B7023" s="1" t="n">
        <v>45852.68678240741</v>
      </c>
      <c r="C7023" s="1" t="n">
        <v>46011</v>
      </c>
      <c r="D7023" t="inlineStr">
        <is>
          <t>VÄSTRA GÖTALANDS LÄN</t>
        </is>
      </c>
      <c r="E7023" t="inlineStr">
        <is>
          <t>GÖTENE</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55667-2024</t>
        </is>
      </c>
      <c r="B7024" s="1" t="n">
        <v>45622.64577546297</v>
      </c>
      <c r="C7024" s="1" t="n">
        <v>46011</v>
      </c>
      <c r="D7024" t="inlineStr">
        <is>
          <t>VÄSTRA GÖTALANDS LÄN</t>
        </is>
      </c>
      <c r="E7024" t="inlineStr">
        <is>
          <t>VARA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55764-2024</t>
        </is>
      </c>
      <c r="B7025" s="1" t="n">
        <v>45623.36986111111</v>
      </c>
      <c r="C7025" s="1" t="n">
        <v>46011</v>
      </c>
      <c r="D7025" t="inlineStr">
        <is>
          <t>VÄSTRA GÖTALANDS LÄN</t>
        </is>
      </c>
      <c r="E7025" t="inlineStr">
        <is>
          <t>GÖTENE</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22191-2023</t>
        </is>
      </c>
      <c r="B7026" s="1" t="n">
        <v>45069.71642361111</v>
      </c>
      <c r="C7026" s="1" t="n">
        <v>46011</v>
      </c>
      <c r="D7026" t="inlineStr">
        <is>
          <t>VÄSTRA GÖTALANDS LÄN</t>
        </is>
      </c>
      <c r="E7026" t="inlineStr">
        <is>
          <t>SVENLJUNGA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35135-2025</t>
        </is>
      </c>
      <c r="B7027" s="1" t="n">
        <v>45852.64123842592</v>
      </c>
      <c r="C7027" s="1" t="n">
        <v>46011</v>
      </c>
      <c r="D7027" t="inlineStr">
        <is>
          <t>VÄSTRA GÖTALANDS LÄN</t>
        </is>
      </c>
      <c r="E7027" t="inlineStr">
        <is>
          <t>LYSEKIL</t>
        </is>
      </c>
      <c r="G7027" t="n">
        <v>0.1</v>
      </c>
      <c r="H7027" t="n">
        <v>0</v>
      </c>
      <c r="I7027" t="n">
        <v>0</v>
      </c>
      <c r="J7027" t="n">
        <v>0</v>
      </c>
      <c r="K7027" t="n">
        <v>0</v>
      </c>
      <c r="L7027" t="n">
        <v>0</v>
      </c>
      <c r="M7027" t="n">
        <v>0</v>
      </c>
      <c r="N7027" t="n">
        <v>0</v>
      </c>
      <c r="O7027" t="n">
        <v>0</v>
      </c>
      <c r="P7027" t="n">
        <v>0</v>
      </c>
      <c r="Q7027" t="n">
        <v>0</v>
      </c>
      <c r="R7027" s="2" t="inlineStr"/>
    </row>
    <row r="7028" ht="15" customHeight="1">
      <c r="A7028" t="inlineStr">
        <is>
          <t>A 44700-2024</t>
        </is>
      </c>
      <c r="B7028" s="1" t="n">
        <v>45574.56451388889</v>
      </c>
      <c r="C7028" s="1" t="n">
        <v>46011</v>
      </c>
      <c r="D7028" t="inlineStr">
        <is>
          <t>VÄSTRA GÖTALANDS LÄN</t>
        </is>
      </c>
      <c r="E7028" t="inlineStr">
        <is>
          <t>FALKÖPING</t>
        </is>
      </c>
      <c r="F7028" t="inlineStr">
        <is>
          <t>Sveaskog</t>
        </is>
      </c>
      <c r="G7028" t="n">
        <v>7.9</v>
      </c>
      <c r="H7028" t="n">
        <v>0</v>
      </c>
      <c r="I7028" t="n">
        <v>0</v>
      </c>
      <c r="J7028" t="n">
        <v>0</v>
      </c>
      <c r="K7028" t="n">
        <v>0</v>
      </c>
      <c r="L7028" t="n">
        <v>0</v>
      </c>
      <c r="M7028" t="n">
        <v>0</v>
      </c>
      <c r="N7028" t="n">
        <v>0</v>
      </c>
      <c r="O7028" t="n">
        <v>0</v>
      </c>
      <c r="P7028" t="n">
        <v>0</v>
      </c>
      <c r="Q7028" t="n">
        <v>0</v>
      </c>
      <c r="R7028" s="2" t="inlineStr"/>
    </row>
    <row r="7029" ht="15" customHeight="1">
      <c r="A7029" t="inlineStr">
        <is>
          <t>A 47404-2025</t>
        </is>
      </c>
      <c r="B7029" s="1" t="n">
        <v>45930.61149305556</v>
      </c>
      <c r="C7029" s="1" t="n">
        <v>46011</v>
      </c>
      <c r="D7029" t="inlineStr">
        <is>
          <t>VÄSTRA GÖTALANDS LÄN</t>
        </is>
      </c>
      <c r="E7029" t="inlineStr">
        <is>
          <t>ORUST</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47342-2025</t>
        </is>
      </c>
      <c r="B7030" s="1" t="n">
        <v>45930.56956018518</v>
      </c>
      <c r="C7030" s="1" t="n">
        <v>46011</v>
      </c>
      <c r="D7030" t="inlineStr">
        <is>
          <t>VÄSTRA GÖTALANDS LÄN</t>
        </is>
      </c>
      <c r="E7030" t="inlineStr">
        <is>
          <t>VÄNERSBORG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47349-2025</t>
        </is>
      </c>
      <c r="B7031" s="1" t="n">
        <v>45930.57609953704</v>
      </c>
      <c r="C7031" s="1" t="n">
        <v>46011</v>
      </c>
      <c r="D7031" t="inlineStr">
        <is>
          <t>VÄSTRA GÖTALANDS LÄN</t>
        </is>
      </c>
      <c r="E7031" t="inlineStr">
        <is>
          <t>TIDAHOLM</t>
        </is>
      </c>
      <c r="F7031" t="inlineStr">
        <is>
          <t>Sveaskog</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47355-2025</t>
        </is>
      </c>
      <c r="B7032" s="1" t="n">
        <v>45930.57943287037</v>
      </c>
      <c r="C7032" s="1" t="n">
        <v>46011</v>
      </c>
      <c r="D7032" t="inlineStr">
        <is>
          <t>VÄSTRA GÖTALANDS LÄN</t>
        </is>
      </c>
      <c r="E7032" t="inlineStr">
        <is>
          <t>TIDAHOLM</t>
        </is>
      </c>
      <c r="F7032" t="inlineStr">
        <is>
          <t>Sveaskog</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47358-2025</t>
        </is>
      </c>
      <c r="B7033" s="1" t="n">
        <v>45930</v>
      </c>
      <c r="C7033" s="1" t="n">
        <v>46011</v>
      </c>
      <c r="D7033" t="inlineStr">
        <is>
          <t>VÄSTRA GÖTALANDS LÄN</t>
        </is>
      </c>
      <c r="E7033" t="inlineStr">
        <is>
          <t>GULLSPÅNG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46907-2025</t>
        </is>
      </c>
      <c r="B7034" s="1" t="n">
        <v>45929.40480324074</v>
      </c>
      <c r="C7034" s="1" t="n">
        <v>46011</v>
      </c>
      <c r="D7034" t="inlineStr">
        <is>
          <t>VÄSTRA GÖTALANDS LÄN</t>
        </is>
      </c>
      <c r="E7034" t="inlineStr">
        <is>
          <t>STRÖMSTAD</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46923-2025</t>
        </is>
      </c>
      <c r="B7035" s="1" t="n">
        <v>45929.43701388889</v>
      </c>
      <c r="C7035" s="1" t="n">
        <v>46011</v>
      </c>
      <c r="D7035" t="inlineStr">
        <is>
          <t>VÄSTRA GÖTALANDS LÄN</t>
        </is>
      </c>
      <c r="E7035" t="inlineStr">
        <is>
          <t>SKÖVDE</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58236-2024</t>
        </is>
      </c>
      <c r="B7036" s="1" t="n">
        <v>45632.53951388889</v>
      </c>
      <c r="C7036" s="1" t="n">
        <v>46011</v>
      </c>
      <c r="D7036" t="inlineStr">
        <is>
          <t>VÄSTRA GÖTALANDS LÄN</t>
        </is>
      </c>
      <c r="E7036" t="inlineStr">
        <is>
          <t>GÖTENE</t>
        </is>
      </c>
      <c r="F7036" t="inlineStr">
        <is>
          <t>Kyrkan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397-2025</t>
        </is>
      </c>
      <c r="B7037" s="1" t="n">
        <v>45663</v>
      </c>
      <c r="C7037" s="1" t="n">
        <v>46011</v>
      </c>
      <c r="D7037" t="inlineStr">
        <is>
          <t>VÄSTRA GÖTALANDS LÄN</t>
        </is>
      </c>
      <c r="E7037" t="inlineStr">
        <is>
          <t>ULRICEHAMN</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14907-2023</t>
        </is>
      </c>
      <c r="B7038" s="1" t="n">
        <v>45013</v>
      </c>
      <c r="C7038" s="1" t="n">
        <v>46011</v>
      </c>
      <c r="D7038" t="inlineStr">
        <is>
          <t>VÄSTRA GÖTALANDS LÄN</t>
        </is>
      </c>
      <c r="E7038" t="inlineStr">
        <is>
          <t>TIDAHOLM</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5137-2025</t>
        </is>
      </c>
      <c r="B7039" s="1" t="n">
        <v>45691.5816550926</v>
      </c>
      <c r="C7039" s="1" t="n">
        <v>46011</v>
      </c>
      <c r="D7039" t="inlineStr">
        <is>
          <t>VÄSTRA GÖTALANDS LÄN</t>
        </is>
      </c>
      <c r="E7039" t="inlineStr">
        <is>
          <t>ULRICEHAMN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56169-2024</t>
        </is>
      </c>
      <c r="B7040" s="1" t="n">
        <v>45624.55305555555</v>
      </c>
      <c r="C7040" s="1" t="n">
        <v>46011</v>
      </c>
      <c r="D7040" t="inlineStr">
        <is>
          <t>VÄSTRA GÖTALANDS LÄN</t>
        </is>
      </c>
      <c r="E7040" t="inlineStr">
        <is>
          <t>GÖTENE</t>
        </is>
      </c>
      <c r="G7040" t="n">
        <v>19.7</v>
      </c>
      <c r="H7040" t="n">
        <v>0</v>
      </c>
      <c r="I7040" t="n">
        <v>0</v>
      </c>
      <c r="J7040" t="n">
        <v>0</v>
      </c>
      <c r="K7040" t="n">
        <v>0</v>
      </c>
      <c r="L7040" t="n">
        <v>0</v>
      </c>
      <c r="M7040" t="n">
        <v>0</v>
      </c>
      <c r="N7040" t="n">
        <v>0</v>
      </c>
      <c r="O7040" t="n">
        <v>0</v>
      </c>
      <c r="P7040" t="n">
        <v>0</v>
      </c>
      <c r="Q7040" t="n">
        <v>0</v>
      </c>
      <c r="R7040" s="2" t="inlineStr"/>
    </row>
    <row r="7041" ht="15" customHeight="1">
      <c r="A7041" t="inlineStr">
        <is>
          <t>A 46037-2024</t>
        </is>
      </c>
      <c r="B7041" s="1" t="n">
        <v>45580.72895833333</v>
      </c>
      <c r="C7041" s="1" t="n">
        <v>46011</v>
      </c>
      <c r="D7041" t="inlineStr">
        <is>
          <t>VÄSTRA GÖTALANDS LÄN</t>
        </is>
      </c>
      <c r="E7041" t="inlineStr">
        <is>
          <t>TIDAHOLM</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69289-2021</t>
        </is>
      </c>
      <c r="B7042" s="1" t="n">
        <v>44531</v>
      </c>
      <c r="C7042" s="1" t="n">
        <v>46011</v>
      </c>
      <c r="D7042" t="inlineStr">
        <is>
          <t>VÄSTRA GÖTALANDS LÄN</t>
        </is>
      </c>
      <c r="E7042" t="inlineStr">
        <is>
          <t>MARK</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2669-2024</t>
        </is>
      </c>
      <c r="B7043" s="1" t="n">
        <v>45314.40929398148</v>
      </c>
      <c r="C7043" s="1" t="n">
        <v>46011</v>
      </c>
      <c r="D7043" t="inlineStr">
        <is>
          <t>VÄSTRA GÖTALANDS LÄN</t>
        </is>
      </c>
      <c r="E7043" t="inlineStr">
        <is>
          <t>ULRICEHAMN</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55648-2025</t>
        </is>
      </c>
      <c r="B7044" s="1" t="n">
        <v>45972.37070601852</v>
      </c>
      <c r="C7044" s="1" t="n">
        <v>46011</v>
      </c>
      <c r="D7044" t="inlineStr">
        <is>
          <t>VÄSTRA GÖTALANDS LÄN</t>
        </is>
      </c>
      <c r="E7044" t="inlineStr">
        <is>
          <t>TÖREBODA</t>
        </is>
      </c>
      <c r="F7044" t="inlineStr">
        <is>
          <t>Sveaskog</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55542-2025</t>
        </is>
      </c>
      <c r="B7045" s="1" t="n">
        <v>45971.63524305556</v>
      </c>
      <c r="C7045" s="1" t="n">
        <v>46011</v>
      </c>
      <c r="D7045" t="inlineStr">
        <is>
          <t>VÄSTRA GÖTALANDS LÄN</t>
        </is>
      </c>
      <c r="E7045" t="inlineStr">
        <is>
          <t>UDDEVALLA</t>
        </is>
      </c>
      <c r="F7045" t="inlineStr">
        <is>
          <t>Kyrkan</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35316-2025</t>
        </is>
      </c>
      <c r="B7046" s="1" t="n">
        <v>45854.47652777778</v>
      </c>
      <c r="C7046" s="1" t="n">
        <v>46011</v>
      </c>
      <c r="D7046" t="inlineStr">
        <is>
          <t>VÄSTRA GÖTALANDS LÄN</t>
        </is>
      </c>
      <c r="E7046" t="inlineStr">
        <is>
          <t>HJO</t>
        </is>
      </c>
      <c r="F7046" t="inlineStr">
        <is>
          <t>Sveaskog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35319-2025</t>
        </is>
      </c>
      <c r="B7047" s="1" t="n">
        <v>45854.48293981481</v>
      </c>
      <c r="C7047" s="1" t="n">
        <v>46011</v>
      </c>
      <c r="D7047" t="inlineStr">
        <is>
          <t>VÄSTRA GÖTALANDS LÄN</t>
        </is>
      </c>
      <c r="E7047" t="inlineStr">
        <is>
          <t>HJO</t>
        </is>
      </c>
      <c r="F7047" t="inlineStr">
        <is>
          <t>Sveaskog</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55561-2025</t>
        </is>
      </c>
      <c r="B7048" s="1" t="n">
        <v>45971.65128472223</v>
      </c>
      <c r="C7048" s="1" t="n">
        <v>46011</v>
      </c>
      <c r="D7048" t="inlineStr">
        <is>
          <t>VÄSTRA GÖTALANDS LÄN</t>
        </is>
      </c>
      <c r="E7048" t="inlineStr">
        <is>
          <t>VARA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2004-2024</t>
        </is>
      </c>
      <c r="B7049" s="1" t="n">
        <v>45308</v>
      </c>
      <c r="C7049" s="1" t="n">
        <v>46011</v>
      </c>
      <c r="D7049" t="inlineStr">
        <is>
          <t>VÄSTRA GÖTALANDS LÄN</t>
        </is>
      </c>
      <c r="E7049" t="inlineStr">
        <is>
          <t>BORÅS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19319-2023</t>
        </is>
      </c>
      <c r="B7050" s="1" t="n">
        <v>45048</v>
      </c>
      <c r="C7050" s="1" t="n">
        <v>46011</v>
      </c>
      <c r="D7050" t="inlineStr">
        <is>
          <t>VÄSTRA GÖTALANDS LÄN</t>
        </is>
      </c>
      <c r="E7050" t="inlineStr">
        <is>
          <t>SVENLJUNGA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18704-2022</t>
        </is>
      </c>
      <c r="B7051" s="1" t="n">
        <v>44687</v>
      </c>
      <c r="C7051" s="1" t="n">
        <v>46011</v>
      </c>
      <c r="D7051" t="inlineStr">
        <is>
          <t>VÄSTRA GÖTALANDS LÄN</t>
        </is>
      </c>
      <c r="E7051" t="inlineStr">
        <is>
          <t>SKARA</t>
        </is>
      </c>
      <c r="F7051" t="inlineStr">
        <is>
          <t>Kommuner</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27888-2023</t>
        </is>
      </c>
      <c r="B7052" s="1" t="n">
        <v>45098</v>
      </c>
      <c r="C7052" s="1" t="n">
        <v>46011</v>
      </c>
      <c r="D7052" t="inlineStr">
        <is>
          <t>VÄSTRA GÖTALANDS LÄN</t>
        </is>
      </c>
      <c r="E7052" t="inlineStr">
        <is>
          <t>SVENLJUNGA</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850-2023</t>
        </is>
      </c>
      <c r="B7053" s="1" t="n">
        <v>44931.57833333333</v>
      </c>
      <c r="C7053" s="1" t="n">
        <v>46011</v>
      </c>
      <c r="D7053" t="inlineStr">
        <is>
          <t>VÄSTRA GÖTALANDS LÄN</t>
        </is>
      </c>
      <c r="E7053" t="inlineStr">
        <is>
          <t>GÖTENE</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35313-2025</t>
        </is>
      </c>
      <c r="B7054" s="1" t="n">
        <v>45854</v>
      </c>
      <c r="C7054" s="1" t="n">
        <v>46011</v>
      </c>
      <c r="D7054" t="inlineStr">
        <is>
          <t>VÄSTRA GÖTALANDS LÄN</t>
        </is>
      </c>
      <c r="E7054" t="inlineStr">
        <is>
          <t>MARK</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35320-2025</t>
        </is>
      </c>
      <c r="B7055" s="1" t="n">
        <v>45854.48346064815</v>
      </c>
      <c r="C7055" s="1" t="n">
        <v>46011</v>
      </c>
      <c r="D7055" t="inlineStr">
        <is>
          <t>VÄSTRA GÖTALANDS LÄN</t>
        </is>
      </c>
      <c r="E7055" t="inlineStr">
        <is>
          <t>SVENLJUNGA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13523-2023</t>
        </is>
      </c>
      <c r="B7056" s="1" t="n">
        <v>45006</v>
      </c>
      <c r="C7056" s="1" t="n">
        <v>46011</v>
      </c>
      <c r="D7056" t="inlineStr">
        <is>
          <t>VÄSTRA GÖTALANDS LÄN</t>
        </is>
      </c>
      <c r="E7056" t="inlineStr">
        <is>
          <t>MELLERUD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13530-2023</t>
        </is>
      </c>
      <c r="B7057" s="1" t="n">
        <v>45006.38202546296</v>
      </c>
      <c r="C7057" s="1" t="n">
        <v>46011</v>
      </c>
      <c r="D7057" t="inlineStr">
        <is>
          <t>VÄSTRA GÖTALANDS LÄN</t>
        </is>
      </c>
      <c r="E7057" t="inlineStr">
        <is>
          <t>LIDKÖPING</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35280-2025</t>
        </is>
      </c>
      <c r="B7058" s="1" t="n">
        <v>45854.27512731482</v>
      </c>
      <c r="C7058" s="1" t="n">
        <v>46011</v>
      </c>
      <c r="D7058" t="inlineStr">
        <is>
          <t>VÄSTRA GÖTALANDS LÄN</t>
        </is>
      </c>
      <c r="E7058" t="inlineStr">
        <is>
          <t>BENGTSFORS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46954-2025</t>
        </is>
      </c>
      <c r="B7059" s="1" t="n">
        <v>45929.48041666667</v>
      </c>
      <c r="C7059" s="1" t="n">
        <v>46011</v>
      </c>
      <c r="D7059" t="inlineStr">
        <is>
          <t>VÄSTRA GÖTALANDS LÄN</t>
        </is>
      </c>
      <c r="E7059" t="inlineStr">
        <is>
          <t>GÖTENE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46957-2025</t>
        </is>
      </c>
      <c r="B7060" s="1" t="n">
        <v>45929</v>
      </c>
      <c r="C7060" s="1" t="n">
        <v>46011</v>
      </c>
      <c r="D7060" t="inlineStr">
        <is>
          <t>VÄSTRA GÖTALANDS LÄN</t>
        </is>
      </c>
      <c r="E7060" t="inlineStr">
        <is>
          <t>LERUM</t>
        </is>
      </c>
      <c r="G7060" t="n">
        <v>8.699999999999999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46967-2025</t>
        </is>
      </c>
      <c r="B7061" s="1" t="n">
        <v>45929.49907407408</v>
      </c>
      <c r="C7061" s="1" t="n">
        <v>46011</v>
      </c>
      <c r="D7061" t="inlineStr">
        <is>
          <t>VÄSTRA GÖTALANDS LÄN</t>
        </is>
      </c>
      <c r="E7061" t="inlineStr">
        <is>
          <t>BORÅS</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46977-2025</t>
        </is>
      </c>
      <c r="B7062" s="1" t="n">
        <v>45929.51806712963</v>
      </c>
      <c r="C7062" s="1" t="n">
        <v>46011</v>
      </c>
      <c r="D7062" t="inlineStr">
        <is>
          <t>VÄSTRA GÖTALANDS LÄN</t>
        </is>
      </c>
      <c r="E7062" t="inlineStr">
        <is>
          <t>DALS-ED</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13537-2023</t>
        </is>
      </c>
      <c r="B7063" s="1" t="n">
        <v>45006</v>
      </c>
      <c r="C7063" s="1" t="n">
        <v>46011</v>
      </c>
      <c r="D7063" t="inlineStr">
        <is>
          <t>VÄSTRA GÖTALANDS LÄN</t>
        </is>
      </c>
      <c r="E7063" t="inlineStr">
        <is>
          <t>DALS-ED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59931-2021</t>
        </is>
      </c>
      <c r="B7064" s="1" t="n">
        <v>44494</v>
      </c>
      <c r="C7064" s="1" t="n">
        <v>46011</v>
      </c>
      <c r="D7064" t="inlineStr">
        <is>
          <t>VÄSTRA GÖTALANDS LÄN</t>
        </is>
      </c>
      <c r="E7064" t="inlineStr">
        <is>
          <t>DALS-ED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4708-2024</t>
        </is>
      </c>
      <c r="B7065" s="1" t="n">
        <v>45328</v>
      </c>
      <c r="C7065" s="1" t="n">
        <v>46011</v>
      </c>
      <c r="D7065" t="inlineStr">
        <is>
          <t>VÄSTRA GÖTALANDS LÄN</t>
        </is>
      </c>
      <c r="E7065" t="inlineStr">
        <is>
          <t>TÖREBODA</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55766-2025</t>
        </is>
      </c>
      <c r="B7066" s="1" t="n">
        <v>45972.61072916666</v>
      </c>
      <c r="C7066" s="1" t="n">
        <v>46011</v>
      </c>
      <c r="D7066" t="inlineStr">
        <is>
          <t>VÄSTRA GÖTALANDS LÄN</t>
        </is>
      </c>
      <c r="E7066" t="inlineStr">
        <is>
          <t>TÖREBODA</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10442-2025</t>
        </is>
      </c>
      <c r="B7067" s="1" t="n">
        <v>45720</v>
      </c>
      <c r="C7067" s="1" t="n">
        <v>46011</v>
      </c>
      <c r="D7067" t="inlineStr">
        <is>
          <t>VÄSTRA GÖTALANDS LÄN</t>
        </is>
      </c>
      <c r="E7067" t="inlineStr">
        <is>
          <t>TÖREBODA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53763-2024</t>
        </is>
      </c>
      <c r="B7068" s="1" t="n">
        <v>45615.51563657408</v>
      </c>
      <c r="C7068" s="1" t="n">
        <v>46011</v>
      </c>
      <c r="D7068" t="inlineStr">
        <is>
          <t>VÄSTRA GÖTALANDS LÄN</t>
        </is>
      </c>
      <c r="E7068" t="inlineStr">
        <is>
          <t>SVENLJUNGA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58691-2024</t>
        </is>
      </c>
      <c r="B7069" s="1" t="n">
        <v>45635.6282175926</v>
      </c>
      <c r="C7069" s="1" t="n">
        <v>46011</v>
      </c>
      <c r="D7069" t="inlineStr">
        <is>
          <t>VÄSTRA GÖTALANDS LÄN</t>
        </is>
      </c>
      <c r="E7069" t="inlineStr">
        <is>
          <t>GÖTENE</t>
        </is>
      </c>
      <c r="F7069" t="inlineStr">
        <is>
          <t>Kyrkan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4505-2023</t>
        </is>
      </c>
      <c r="B7070" s="1" t="n">
        <v>44956.56306712963</v>
      </c>
      <c r="C7070" s="1" t="n">
        <v>46011</v>
      </c>
      <c r="D7070" t="inlineStr">
        <is>
          <t>VÄSTRA GÖTALANDS LÄN</t>
        </is>
      </c>
      <c r="E7070" t="inlineStr">
        <is>
          <t>UDDEVALLA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56164-2024</t>
        </is>
      </c>
      <c r="B7071" s="1" t="n">
        <v>45624.54939814815</v>
      </c>
      <c r="C7071" s="1" t="n">
        <v>46011</v>
      </c>
      <c r="D7071" t="inlineStr">
        <is>
          <t>VÄSTRA GÖTALANDS LÄN</t>
        </is>
      </c>
      <c r="E7071" t="inlineStr">
        <is>
          <t>VARA</t>
        </is>
      </c>
      <c r="G7071" t="n">
        <v>15.7</v>
      </c>
      <c r="H7071" t="n">
        <v>0</v>
      </c>
      <c r="I7071" t="n">
        <v>0</v>
      </c>
      <c r="J7071" t="n">
        <v>0</v>
      </c>
      <c r="K7071" t="n">
        <v>0</v>
      </c>
      <c r="L7071" t="n">
        <v>0</v>
      </c>
      <c r="M7071" t="n">
        <v>0</v>
      </c>
      <c r="N7071" t="n">
        <v>0</v>
      </c>
      <c r="O7071" t="n">
        <v>0</v>
      </c>
      <c r="P7071" t="n">
        <v>0</v>
      </c>
      <c r="Q7071" t="n">
        <v>0</v>
      </c>
      <c r="R7071" s="2" t="inlineStr"/>
    </row>
    <row r="7072" ht="15" customHeight="1">
      <c r="A7072" t="inlineStr">
        <is>
          <t>A 60127-2023</t>
        </is>
      </c>
      <c r="B7072" s="1" t="n">
        <v>45258</v>
      </c>
      <c r="C7072" s="1" t="n">
        <v>46011</v>
      </c>
      <c r="D7072" t="inlineStr">
        <is>
          <t>VÄSTRA GÖTALANDS LÄN</t>
        </is>
      </c>
      <c r="E7072" t="inlineStr">
        <is>
          <t>BORÅS</t>
        </is>
      </c>
      <c r="F7072" t="inlineStr">
        <is>
          <t>Kyrkan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14550-2025</t>
        </is>
      </c>
      <c r="B7073" s="1" t="n">
        <v>45741.70502314815</v>
      </c>
      <c r="C7073" s="1" t="n">
        <v>46011</v>
      </c>
      <c r="D7073" t="inlineStr">
        <is>
          <t>VÄSTRA GÖTALANDS LÄN</t>
        </is>
      </c>
      <c r="E7073" t="inlineStr">
        <is>
          <t>TÖREBODA</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47085-2025</t>
        </is>
      </c>
      <c r="B7074" s="1" t="n">
        <v>45929.6434375</v>
      </c>
      <c r="C7074" s="1" t="n">
        <v>46011</v>
      </c>
      <c r="D7074" t="inlineStr">
        <is>
          <t>VÄSTRA GÖTALANDS LÄN</t>
        </is>
      </c>
      <c r="E7074" t="inlineStr">
        <is>
          <t>TANUM</t>
        </is>
      </c>
      <c r="F7074" t="inlineStr">
        <is>
          <t>Kyrkan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60233-2023</t>
        </is>
      </c>
      <c r="B7075" s="1" t="n">
        <v>45258</v>
      </c>
      <c r="C7075" s="1" t="n">
        <v>46011</v>
      </c>
      <c r="D7075" t="inlineStr">
        <is>
          <t>VÄSTRA GÖTALANDS LÄN</t>
        </is>
      </c>
      <c r="E7075" t="inlineStr">
        <is>
          <t>SKARA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11981-2025</t>
        </is>
      </c>
      <c r="B7076" s="1" t="n">
        <v>45728</v>
      </c>
      <c r="C7076" s="1" t="n">
        <v>46011</v>
      </c>
      <c r="D7076" t="inlineStr">
        <is>
          <t>VÄSTRA GÖTALANDS LÄN</t>
        </is>
      </c>
      <c r="E7076" t="inlineStr">
        <is>
          <t>BOLLEBYGD</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35343-2025</t>
        </is>
      </c>
      <c r="B7077" s="1" t="n">
        <v>45854.60905092592</v>
      </c>
      <c r="C7077" s="1" t="n">
        <v>46011</v>
      </c>
      <c r="D7077" t="inlineStr">
        <is>
          <t>VÄSTRA GÖTALANDS LÄN</t>
        </is>
      </c>
      <c r="E7077" t="inlineStr">
        <is>
          <t>MELLERUD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8792-2024</t>
        </is>
      </c>
      <c r="B7078" s="1" t="n">
        <v>45356.63008101852</v>
      </c>
      <c r="C7078" s="1" t="n">
        <v>46011</v>
      </c>
      <c r="D7078" t="inlineStr">
        <is>
          <t>VÄSTRA GÖTALANDS LÄN</t>
        </is>
      </c>
      <c r="E7078" t="inlineStr">
        <is>
          <t>BORÅS</t>
        </is>
      </c>
      <c r="G7078" t="n">
        <v>8.800000000000001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35349-2025</t>
        </is>
      </c>
      <c r="B7079" s="1" t="n">
        <v>45854.63576388889</v>
      </c>
      <c r="C7079" s="1" t="n">
        <v>46011</v>
      </c>
      <c r="D7079" t="inlineStr">
        <is>
          <t>VÄSTRA GÖTALANDS LÄN</t>
        </is>
      </c>
      <c r="E7079" t="inlineStr">
        <is>
          <t>MELLERUD</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26316-2023</t>
        </is>
      </c>
      <c r="B7080" s="1" t="n">
        <v>45091</v>
      </c>
      <c r="C7080" s="1" t="n">
        <v>46011</v>
      </c>
      <c r="D7080" t="inlineStr">
        <is>
          <t>VÄSTRA GÖTALANDS LÄN</t>
        </is>
      </c>
      <c r="E7080" t="inlineStr">
        <is>
          <t>ALINGSÅS</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20460-2022</t>
        </is>
      </c>
      <c r="B7081" s="1" t="n">
        <v>44699.60015046296</v>
      </c>
      <c r="C7081" s="1" t="n">
        <v>46011</v>
      </c>
      <c r="D7081" t="inlineStr">
        <is>
          <t>VÄSTRA GÖTALANDS LÄN</t>
        </is>
      </c>
      <c r="E7081" t="inlineStr">
        <is>
          <t>TRANEMO</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20555-2022</t>
        </is>
      </c>
      <c r="B7082" s="1" t="n">
        <v>44700.36916666666</v>
      </c>
      <c r="C7082" s="1" t="n">
        <v>46011</v>
      </c>
      <c r="D7082" t="inlineStr">
        <is>
          <t>VÄSTRA GÖTALANDS LÄN</t>
        </is>
      </c>
      <c r="E7082" t="inlineStr">
        <is>
          <t>ESSUNGA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47492-2025</t>
        </is>
      </c>
      <c r="B7083" s="1" t="n">
        <v>45930.73918981481</v>
      </c>
      <c r="C7083" s="1" t="n">
        <v>46011</v>
      </c>
      <c r="D7083" t="inlineStr">
        <is>
          <t>VÄSTRA GÖTALANDS LÄN</t>
        </is>
      </c>
      <c r="E7083" t="inlineStr">
        <is>
          <t>ALINGSÅS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42579-2025</t>
        </is>
      </c>
      <c r="B7084" s="1" t="n">
        <v>45905</v>
      </c>
      <c r="C7084" s="1" t="n">
        <v>46011</v>
      </c>
      <c r="D7084" t="inlineStr">
        <is>
          <t>VÄSTRA GÖTALANDS LÄN</t>
        </is>
      </c>
      <c r="E7084" t="inlineStr">
        <is>
          <t>SKÖVDE</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55830-2024</t>
        </is>
      </c>
      <c r="B7085" s="1" t="n">
        <v>45623.48478009259</v>
      </c>
      <c r="C7085" s="1" t="n">
        <v>46011</v>
      </c>
      <c r="D7085" t="inlineStr">
        <is>
          <t>VÄSTRA GÖTALANDS LÄN</t>
        </is>
      </c>
      <c r="E7085" t="inlineStr">
        <is>
          <t>KUNGÄLV</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57241-2024</t>
        </is>
      </c>
      <c r="B7086" s="1" t="n">
        <v>45629.54954861111</v>
      </c>
      <c r="C7086" s="1" t="n">
        <v>46011</v>
      </c>
      <c r="D7086" t="inlineStr">
        <is>
          <t>VÄSTRA GÖTALANDS LÄN</t>
        </is>
      </c>
      <c r="E7086" t="inlineStr">
        <is>
          <t>SVENLJUNGA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10811-2024</t>
        </is>
      </c>
      <c r="B7087" s="1" t="n">
        <v>45369.63376157408</v>
      </c>
      <c r="C7087" s="1" t="n">
        <v>46011</v>
      </c>
      <c r="D7087" t="inlineStr">
        <is>
          <t>VÄSTRA GÖTALANDS LÄN</t>
        </is>
      </c>
      <c r="E7087" t="inlineStr">
        <is>
          <t>ÅMÅL</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47010-2025</t>
        </is>
      </c>
      <c r="B7088" s="1" t="n">
        <v>45929.57181712963</v>
      </c>
      <c r="C7088" s="1" t="n">
        <v>46011</v>
      </c>
      <c r="D7088" t="inlineStr">
        <is>
          <t>VÄSTRA GÖTALANDS LÄN</t>
        </is>
      </c>
      <c r="E7088" t="inlineStr">
        <is>
          <t>SKARA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10814-2024</t>
        </is>
      </c>
      <c r="B7089" s="1" t="n">
        <v>45369</v>
      </c>
      <c r="C7089" s="1" t="n">
        <v>46011</v>
      </c>
      <c r="D7089" t="inlineStr">
        <is>
          <t>VÄSTRA GÖTALANDS LÄN</t>
        </is>
      </c>
      <c r="E7089" t="inlineStr">
        <is>
          <t>MELLERUD</t>
        </is>
      </c>
      <c r="F7089" t="inlineStr">
        <is>
          <t>Övriga Aktiebolag</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35351-2025</t>
        </is>
      </c>
      <c r="B7090" s="1" t="n">
        <v>45854.64826388889</v>
      </c>
      <c r="C7090" s="1" t="n">
        <v>46011</v>
      </c>
      <c r="D7090" t="inlineStr">
        <is>
          <t>VÄSTRA GÖTALANDS LÄN</t>
        </is>
      </c>
      <c r="E7090" t="inlineStr">
        <is>
          <t>MELLERUD</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55429-2025</t>
        </is>
      </c>
      <c r="B7091" s="1" t="n">
        <v>45971.47983796296</v>
      </c>
      <c r="C7091" s="1" t="n">
        <v>46011</v>
      </c>
      <c r="D7091" t="inlineStr">
        <is>
          <t>VÄSTRA GÖTALANDS LÄN</t>
        </is>
      </c>
      <c r="E7091" t="inlineStr">
        <is>
          <t>LERUM</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10828-2024</t>
        </is>
      </c>
      <c r="B7092" s="1" t="n">
        <v>45369.69503472222</v>
      </c>
      <c r="C7092" s="1" t="n">
        <v>46011</v>
      </c>
      <c r="D7092" t="inlineStr">
        <is>
          <t>VÄSTRA GÖTALANDS LÄN</t>
        </is>
      </c>
      <c r="E7092" t="inlineStr">
        <is>
          <t>KARLSBORG</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17649-2025</t>
        </is>
      </c>
      <c r="B7093" s="1" t="n">
        <v>45758.33077546296</v>
      </c>
      <c r="C7093" s="1" t="n">
        <v>46011</v>
      </c>
      <c r="D7093" t="inlineStr">
        <is>
          <t>VÄSTRA GÖTALANDS LÄN</t>
        </is>
      </c>
      <c r="E7093" t="inlineStr">
        <is>
          <t>TRANEMO</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1634-2024</t>
        </is>
      </c>
      <c r="B7094" s="1" t="n">
        <v>45306</v>
      </c>
      <c r="C7094" s="1" t="n">
        <v>46011</v>
      </c>
      <c r="D7094" t="inlineStr">
        <is>
          <t>VÄSTRA GÖTALANDS LÄN</t>
        </is>
      </c>
      <c r="E7094" t="inlineStr">
        <is>
          <t>MARK</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48681-2024</t>
        </is>
      </c>
      <c r="B7095" s="1" t="n">
        <v>45593</v>
      </c>
      <c r="C7095" s="1" t="n">
        <v>46011</v>
      </c>
      <c r="D7095" t="inlineStr">
        <is>
          <t>VÄSTRA GÖTALANDS LÄN</t>
        </is>
      </c>
      <c r="E7095" t="inlineStr">
        <is>
          <t>FALKÖPING</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24792-2024</t>
        </is>
      </c>
      <c r="B7096" s="1" t="n">
        <v>45460</v>
      </c>
      <c r="C7096" s="1" t="n">
        <v>46011</v>
      </c>
      <c r="D7096" t="inlineStr">
        <is>
          <t>VÄSTRA GÖTALANDS LÄN</t>
        </is>
      </c>
      <c r="E7096" t="inlineStr">
        <is>
          <t>TIDAHOLM</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56311-2025</t>
        </is>
      </c>
      <c r="B7097" s="1" t="n">
        <v>45974.6280787037</v>
      </c>
      <c r="C7097" s="1" t="n">
        <v>46011</v>
      </c>
      <c r="D7097" t="inlineStr">
        <is>
          <t>VÄSTRA GÖTALANDS LÄN</t>
        </is>
      </c>
      <c r="E7097" t="inlineStr">
        <is>
          <t>ALINGSÅS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56312-2025</t>
        </is>
      </c>
      <c r="B7098" s="1" t="n">
        <v>45974.62810185185</v>
      </c>
      <c r="C7098" s="1" t="n">
        <v>46011</v>
      </c>
      <c r="D7098" t="inlineStr">
        <is>
          <t>VÄSTRA GÖTALANDS LÄN</t>
        </is>
      </c>
      <c r="E7098" t="inlineStr">
        <is>
          <t>BOLLEBYGD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56116-2025</t>
        </is>
      </c>
      <c r="B7099" s="1" t="n">
        <v>45973.81059027778</v>
      </c>
      <c r="C7099" s="1" t="n">
        <v>46011</v>
      </c>
      <c r="D7099" t="inlineStr">
        <is>
          <t>VÄSTRA GÖTALANDS LÄN</t>
        </is>
      </c>
      <c r="E7099" t="inlineStr">
        <is>
          <t>ALINGSÅS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56196-2025</t>
        </is>
      </c>
      <c r="B7100" s="1" t="n">
        <v>45974.45112268518</v>
      </c>
      <c r="C7100" s="1" t="n">
        <v>46011</v>
      </c>
      <c r="D7100" t="inlineStr">
        <is>
          <t>VÄSTRA GÖTALANDS LÄN</t>
        </is>
      </c>
      <c r="E7100" t="inlineStr">
        <is>
          <t>STRÖMSTAD</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35347-2025</t>
        </is>
      </c>
      <c r="B7101" s="1" t="n">
        <v>45854.62063657407</v>
      </c>
      <c r="C7101" s="1" t="n">
        <v>46011</v>
      </c>
      <c r="D7101" t="inlineStr">
        <is>
          <t>VÄSTRA GÖTALANDS LÄN</t>
        </is>
      </c>
      <c r="E7101" t="inlineStr">
        <is>
          <t>MELLERUD</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35353-2025</t>
        </is>
      </c>
      <c r="B7102" s="1" t="n">
        <v>45854.65184027778</v>
      </c>
      <c r="C7102" s="1" t="n">
        <v>46011</v>
      </c>
      <c r="D7102" t="inlineStr">
        <is>
          <t>VÄSTRA GÖTALANDS LÄN</t>
        </is>
      </c>
      <c r="E7102" t="inlineStr">
        <is>
          <t>MARK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19878-2024</t>
        </is>
      </c>
      <c r="B7103" s="1" t="n">
        <v>45433.47820601852</v>
      </c>
      <c r="C7103" s="1" t="n">
        <v>46011</v>
      </c>
      <c r="D7103" t="inlineStr">
        <is>
          <t>VÄSTRA GÖTALANDS LÄN</t>
        </is>
      </c>
      <c r="E7103" t="inlineStr">
        <is>
          <t>TRANEMO</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9469-2023</t>
        </is>
      </c>
      <c r="B7104" s="1" t="n">
        <v>44981</v>
      </c>
      <c r="C7104" s="1" t="n">
        <v>46011</v>
      </c>
      <c r="D7104" t="inlineStr">
        <is>
          <t>VÄSTRA GÖTALANDS LÄN</t>
        </is>
      </c>
      <c r="E7104" t="inlineStr">
        <is>
          <t>SVENLJUNGA</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9486-2023</t>
        </is>
      </c>
      <c r="B7105" s="1" t="n">
        <v>44977</v>
      </c>
      <c r="C7105" s="1" t="n">
        <v>46011</v>
      </c>
      <c r="D7105" t="inlineStr">
        <is>
          <t>VÄSTRA GÖTALANDS LÄN</t>
        </is>
      </c>
      <c r="E7105" t="inlineStr">
        <is>
          <t>GULLSPÅNG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47902-2025</t>
        </is>
      </c>
      <c r="B7106" s="1" t="n">
        <v>45932.49850694444</v>
      </c>
      <c r="C7106" s="1" t="n">
        <v>46011</v>
      </c>
      <c r="D7106" t="inlineStr">
        <is>
          <t>VÄSTRA GÖTALANDS LÄN</t>
        </is>
      </c>
      <c r="E7106" t="inlineStr">
        <is>
          <t>BENGTSFORS</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962-2023</t>
        </is>
      </c>
      <c r="B7107" s="1" t="n">
        <v>44934</v>
      </c>
      <c r="C7107" s="1" t="n">
        <v>46011</v>
      </c>
      <c r="D7107" t="inlineStr">
        <is>
          <t>VÄSTRA GÖTALANDS LÄN</t>
        </is>
      </c>
      <c r="E7107" t="inlineStr">
        <is>
          <t>VARA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35172-2025</t>
        </is>
      </c>
      <c r="B7108" s="1" t="n">
        <v>45852.81349537037</v>
      </c>
      <c r="C7108" s="1" t="n">
        <v>46011</v>
      </c>
      <c r="D7108" t="inlineStr">
        <is>
          <t>VÄSTRA GÖTALANDS LÄN</t>
        </is>
      </c>
      <c r="E7108" t="inlineStr">
        <is>
          <t>STENUNGSUND</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47819-2025</t>
        </is>
      </c>
      <c r="B7109" s="1" t="n">
        <v>45932.33591435185</v>
      </c>
      <c r="C7109" s="1" t="n">
        <v>46011</v>
      </c>
      <c r="D7109" t="inlineStr">
        <is>
          <t>VÄSTRA GÖTALANDS LÄN</t>
        </is>
      </c>
      <c r="E7109" t="inlineStr">
        <is>
          <t>VARA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60840-2021</t>
        </is>
      </c>
      <c r="B7110" s="1" t="n">
        <v>44497</v>
      </c>
      <c r="C7110" s="1" t="n">
        <v>46011</v>
      </c>
      <c r="D7110" t="inlineStr">
        <is>
          <t>VÄSTRA GÖTALANDS LÄN</t>
        </is>
      </c>
      <c r="E7110" t="inlineStr">
        <is>
          <t>SKARA</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47934-2025</t>
        </is>
      </c>
      <c r="B7111" s="1" t="n">
        <v>45932.55678240741</v>
      </c>
      <c r="C7111" s="1" t="n">
        <v>46011</v>
      </c>
      <c r="D7111" t="inlineStr">
        <is>
          <t>VÄSTRA GÖTALANDS LÄN</t>
        </is>
      </c>
      <c r="E7111" t="inlineStr">
        <is>
          <t>BOLLEBYGD</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17800-2023</t>
        </is>
      </c>
      <c r="B7112" s="1" t="n">
        <v>45037.56935185185</v>
      </c>
      <c r="C7112" s="1" t="n">
        <v>46011</v>
      </c>
      <c r="D7112" t="inlineStr">
        <is>
          <t>VÄSTRA GÖTALANDS LÄN</t>
        </is>
      </c>
      <c r="E7112" t="inlineStr">
        <is>
          <t>DALS-ED</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32513-2025</t>
        </is>
      </c>
      <c r="B7113" s="1" t="n">
        <v>45838</v>
      </c>
      <c r="C7113" s="1" t="n">
        <v>46011</v>
      </c>
      <c r="D7113" t="inlineStr">
        <is>
          <t>VÄSTRA GÖTALANDS LÄN</t>
        </is>
      </c>
      <c r="E7113" t="inlineStr">
        <is>
          <t>MARK</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35545-2025</t>
        </is>
      </c>
      <c r="B7114" s="1" t="n">
        <v>45856.47969907407</v>
      </c>
      <c r="C7114" s="1" t="n">
        <v>46011</v>
      </c>
      <c r="D7114" t="inlineStr">
        <is>
          <t>VÄSTRA GÖTALANDS LÄN</t>
        </is>
      </c>
      <c r="E7114" t="inlineStr">
        <is>
          <t>ULRICEHAMN</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14757-2025</t>
        </is>
      </c>
      <c r="B7115" s="1" t="n">
        <v>45742.67118055555</v>
      </c>
      <c r="C7115" s="1" t="n">
        <v>46011</v>
      </c>
      <c r="D7115" t="inlineStr">
        <is>
          <t>VÄSTRA GÖTALANDS LÄN</t>
        </is>
      </c>
      <c r="E7115" t="inlineStr">
        <is>
          <t>BENGTSFORS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54875-2024</t>
        </is>
      </c>
      <c r="B7116" s="1" t="n">
        <v>45618.60296296296</v>
      </c>
      <c r="C7116" s="1" t="n">
        <v>46011</v>
      </c>
      <c r="D7116" t="inlineStr">
        <is>
          <t>VÄSTRA GÖTALANDS LÄN</t>
        </is>
      </c>
      <c r="E7116" t="inlineStr">
        <is>
          <t>MUNKEDAL</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7344-2023</t>
        </is>
      </c>
      <c r="B7117" s="1" t="n">
        <v>44971</v>
      </c>
      <c r="C7117" s="1" t="n">
        <v>46011</v>
      </c>
      <c r="D7117" t="inlineStr">
        <is>
          <t>VÄSTRA GÖTALANDS LÄN</t>
        </is>
      </c>
      <c r="E7117" t="inlineStr">
        <is>
          <t>ULRICEHAMN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56305-2025</t>
        </is>
      </c>
      <c r="B7118" s="1" t="n">
        <v>45974.61175925926</v>
      </c>
      <c r="C7118" s="1" t="n">
        <v>46011</v>
      </c>
      <c r="D7118" t="inlineStr">
        <is>
          <t>VÄSTRA GÖTALANDS LÄN</t>
        </is>
      </c>
      <c r="E7118" t="inlineStr">
        <is>
          <t>BOLLEBYGD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56319-2025</t>
        </is>
      </c>
      <c r="B7119" s="1" t="n">
        <v>45974.63384259259</v>
      </c>
      <c r="C7119" s="1" t="n">
        <v>46011</v>
      </c>
      <c r="D7119" t="inlineStr">
        <is>
          <t>VÄSTRA GÖTALANDS LÄN</t>
        </is>
      </c>
      <c r="E7119" t="inlineStr">
        <is>
          <t>ULRICEHAMN</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56346-2025</t>
        </is>
      </c>
      <c r="B7120" s="1" t="n">
        <v>45974.64944444445</v>
      </c>
      <c r="C7120" s="1" t="n">
        <v>46011</v>
      </c>
      <c r="D7120" t="inlineStr">
        <is>
          <t>VÄSTRA GÖTALANDS LÄN</t>
        </is>
      </c>
      <c r="E7120" t="inlineStr">
        <is>
          <t>GÖTENE</t>
        </is>
      </c>
      <c r="G7120" t="n">
        <v>18.8</v>
      </c>
      <c r="H7120" t="n">
        <v>0</v>
      </c>
      <c r="I7120" t="n">
        <v>0</v>
      </c>
      <c r="J7120" t="n">
        <v>0</v>
      </c>
      <c r="K7120" t="n">
        <v>0</v>
      </c>
      <c r="L7120" t="n">
        <v>0</v>
      </c>
      <c r="M7120" t="n">
        <v>0</v>
      </c>
      <c r="N7120" t="n">
        <v>0</v>
      </c>
      <c r="O7120" t="n">
        <v>0</v>
      </c>
      <c r="P7120" t="n">
        <v>0</v>
      </c>
      <c r="Q7120" t="n">
        <v>0</v>
      </c>
      <c r="R7120" s="2" t="inlineStr"/>
    </row>
    <row r="7121" ht="15" customHeight="1">
      <c r="A7121" t="inlineStr">
        <is>
          <t>A 7418-2023</t>
        </is>
      </c>
      <c r="B7121" s="1" t="n">
        <v>44971</v>
      </c>
      <c r="C7121" s="1" t="n">
        <v>46011</v>
      </c>
      <c r="D7121" t="inlineStr">
        <is>
          <t>VÄSTRA GÖTALANDS LÄN</t>
        </is>
      </c>
      <c r="E7121" t="inlineStr">
        <is>
          <t>MARIESTAD</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35496-2025</t>
        </is>
      </c>
      <c r="B7122" s="1" t="n">
        <v>45856.25802083333</v>
      </c>
      <c r="C7122" s="1" t="n">
        <v>46011</v>
      </c>
      <c r="D7122" t="inlineStr">
        <is>
          <t>VÄSTRA GÖTALANDS LÄN</t>
        </is>
      </c>
      <c r="E7122" t="inlineStr">
        <is>
          <t>SVENLJUNGA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8849-2022</t>
        </is>
      </c>
      <c r="B7123" s="1" t="n">
        <v>44614</v>
      </c>
      <c r="C7123" s="1" t="n">
        <v>46011</v>
      </c>
      <c r="D7123" t="inlineStr">
        <is>
          <t>VÄSTRA GÖTALANDS LÄN</t>
        </is>
      </c>
      <c r="E7123" t="inlineStr">
        <is>
          <t>MARIESTAD</t>
        </is>
      </c>
      <c r="F7123" t="inlineStr">
        <is>
          <t>Kyrkan</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35378-2025</t>
        </is>
      </c>
      <c r="B7124" s="1" t="n">
        <v>45855.29137731482</v>
      </c>
      <c r="C7124" s="1" t="n">
        <v>46011</v>
      </c>
      <c r="D7124" t="inlineStr">
        <is>
          <t>VÄSTRA GÖTALANDS LÄN</t>
        </is>
      </c>
      <c r="E7124" t="inlineStr">
        <is>
          <t>MARK</t>
        </is>
      </c>
      <c r="G7124" t="n">
        <v>7.4</v>
      </c>
      <c r="H7124" t="n">
        <v>0</v>
      </c>
      <c r="I7124" t="n">
        <v>0</v>
      </c>
      <c r="J7124" t="n">
        <v>0</v>
      </c>
      <c r="K7124" t="n">
        <v>0</v>
      </c>
      <c r="L7124" t="n">
        <v>0</v>
      </c>
      <c r="M7124" t="n">
        <v>0</v>
      </c>
      <c r="N7124" t="n">
        <v>0</v>
      </c>
      <c r="O7124" t="n">
        <v>0</v>
      </c>
      <c r="P7124" t="n">
        <v>0</v>
      </c>
      <c r="Q7124" t="n">
        <v>0</v>
      </c>
      <c r="R7124" s="2" t="inlineStr"/>
    </row>
    <row r="7125" ht="15" customHeight="1">
      <c r="A7125" t="inlineStr">
        <is>
          <t>A 35382-2025</t>
        </is>
      </c>
      <c r="B7125" s="1" t="n">
        <v>45855.31087962963</v>
      </c>
      <c r="C7125" s="1" t="n">
        <v>46011</v>
      </c>
      <c r="D7125" t="inlineStr">
        <is>
          <t>VÄSTRA GÖTALANDS LÄN</t>
        </is>
      </c>
      <c r="E7125" t="inlineStr">
        <is>
          <t>MARK</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35383-2025</t>
        </is>
      </c>
      <c r="B7126" s="1" t="n">
        <v>45855.31182870371</v>
      </c>
      <c r="C7126" s="1" t="n">
        <v>46011</v>
      </c>
      <c r="D7126" t="inlineStr">
        <is>
          <t>VÄSTRA GÖTALANDS LÄN</t>
        </is>
      </c>
      <c r="E7126" t="inlineStr">
        <is>
          <t>MARK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47594-2025</t>
        </is>
      </c>
      <c r="B7127" s="1" t="n">
        <v>45931</v>
      </c>
      <c r="C7127" s="1" t="n">
        <v>46011</v>
      </c>
      <c r="D7127" t="inlineStr">
        <is>
          <t>VÄSTRA GÖTALANDS LÄN</t>
        </is>
      </c>
      <c r="E7127" t="inlineStr">
        <is>
          <t>BORÅS</t>
        </is>
      </c>
      <c r="F7127" t="inlineStr">
        <is>
          <t>Kommuner</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59383-2024</t>
        </is>
      </c>
      <c r="B7128" s="1" t="n">
        <v>45638.35758101852</v>
      </c>
      <c r="C7128" s="1" t="n">
        <v>46011</v>
      </c>
      <c r="D7128" t="inlineStr">
        <is>
          <t>VÄSTRA GÖTALANDS LÄN</t>
        </is>
      </c>
      <c r="E7128" t="inlineStr">
        <is>
          <t>STRÖMSTAD</t>
        </is>
      </c>
      <c r="F7128" t="inlineStr">
        <is>
          <t>Kommuner</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11442-2024</t>
        </is>
      </c>
      <c r="B7129" s="1" t="n">
        <v>45372.55474537037</v>
      </c>
      <c r="C7129" s="1" t="n">
        <v>46011</v>
      </c>
      <c r="D7129" t="inlineStr">
        <is>
          <t>VÄSTRA GÖTALANDS LÄN</t>
        </is>
      </c>
      <c r="E7129" t="inlineStr">
        <is>
          <t>MELLERUD</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35381-2025</t>
        </is>
      </c>
      <c r="B7130" s="1" t="n">
        <v>45855.30979166667</v>
      </c>
      <c r="C7130" s="1" t="n">
        <v>46011</v>
      </c>
      <c r="D7130" t="inlineStr">
        <is>
          <t>VÄSTRA GÖTALANDS LÄN</t>
        </is>
      </c>
      <c r="E7130" t="inlineStr">
        <is>
          <t>MARK</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55993-2025</t>
        </is>
      </c>
      <c r="B7131" s="1" t="n">
        <v>45973.55982638889</v>
      </c>
      <c r="C7131" s="1" t="n">
        <v>46011</v>
      </c>
      <c r="D7131" t="inlineStr">
        <is>
          <t>VÄSTRA GÖTALANDS LÄN</t>
        </is>
      </c>
      <c r="E7131" t="inlineStr">
        <is>
          <t>ULRICEHAMN</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56194-2024</t>
        </is>
      </c>
      <c r="B7132" s="1" t="n">
        <v>45624.58861111111</v>
      </c>
      <c r="C7132" s="1" t="n">
        <v>46011</v>
      </c>
      <c r="D7132" t="inlineStr">
        <is>
          <t>VÄSTRA GÖTALANDS LÄN</t>
        </is>
      </c>
      <c r="E7132" t="inlineStr">
        <is>
          <t>MARK</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24284-2023</t>
        </is>
      </c>
      <c r="B7133" s="1" t="n">
        <v>45079.88011574074</v>
      </c>
      <c r="C7133" s="1" t="n">
        <v>46011</v>
      </c>
      <c r="D7133" t="inlineStr">
        <is>
          <t>VÄSTRA GÖTALANDS LÄN</t>
        </is>
      </c>
      <c r="E7133" t="inlineStr">
        <is>
          <t>FÄRGELANDA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56221-2024</t>
        </is>
      </c>
      <c r="B7134" s="1" t="n">
        <v>45624.60966435185</v>
      </c>
      <c r="C7134" s="1" t="n">
        <v>46011</v>
      </c>
      <c r="D7134" t="inlineStr">
        <is>
          <t>VÄSTRA GÖTALANDS LÄN</t>
        </is>
      </c>
      <c r="E7134" t="inlineStr">
        <is>
          <t>MARK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56106-2025</t>
        </is>
      </c>
      <c r="B7135" s="1" t="n">
        <v>45973.72988425926</v>
      </c>
      <c r="C7135" s="1" t="n">
        <v>46011</v>
      </c>
      <c r="D7135" t="inlineStr">
        <is>
          <t>VÄSTRA GÖTALANDS LÄN</t>
        </is>
      </c>
      <c r="E7135" t="inlineStr">
        <is>
          <t>TRANEMO</t>
        </is>
      </c>
      <c r="F7135" t="inlineStr">
        <is>
          <t>Kyrkan</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56110-2025</t>
        </is>
      </c>
      <c r="B7136" s="1" t="n">
        <v>45973.73524305555</v>
      </c>
      <c r="C7136" s="1" t="n">
        <v>46011</v>
      </c>
      <c r="D7136" t="inlineStr">
        <is>
          <t>VÄSTRA GÖTALANDS LÄN</t>
        </is>
      </c>
      <c r="E7136" t="inlineStr">
        <is>
          <t>KARLSBORG</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56131-2025</t>
        </is>
      </c>
      <c r="B7137" s="1" t="n">
        <v>45974.30063657407</v>
      </c>
      <c r="C7137" s="1" t="n">
        <v>46011</v>
      </c>
      <c r="D7137" t="inlineStr">
        <is>
          <t>VÄSTRA GÖTALANDS LÄN</t>
        </is>
      </c>
      <c r="E7137" t="inlineStr">
        <is>
          <t>TÖREBODA</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56133-2025</t>
        </is>
      </c>
      <c r="B7138" s="1" t="n">
        <v>45974.30938657407</v>
      </c>
      <c r="C7138" s="1" t="n">
        <v>46011</v>
      </c>
      <c r="D7138" t="inlineStr">
        <is>
          <t>VÄSTRA GÖTALANDS LÄN</t>
        </is>
      </c>
      <c r="E7138" t="inlineStr">
        <is>
          <t>TÖREBODA</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55894-2025</t>
        </is>
      </c>
      <c r="B7139" s="1" t="n">
        <v>45973.38502314815</v>
      </c>
      <c r="C7139" s="1" t="n">
        <v>46011</v>
      </c>
      <c r="D7139" t="inlineStr">
        <is>
          <t>VÄSTRA GÖTALANDS LÄN</t>
        </is>
      </c>
      <c r="E7139" t="inlineStr">
        <is>
          <t>TRANEMO</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35480-2025</t>
        </is>
      </c>
      <c r="B7140" s="1" t="n">
        <v>45855.70284722222</v>
      </c>
      <c r="C7140" s="1" t="n">
        <v>46011</v>
      </c>
      <c r="D7140" t="inlineStr">
        <is>
          <t>VÄSTRA GÖTALANDS LÄN</t>
        </is>
      </c>
      <c r="E7140" t="inlineStr">
        <is>
          <t>BORÅS</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60543-2024</t>
        </is>
      </c>
      <c r="B7141" s="1" t="n">
        <v>45643.79293981481</v>
      </c>
      <c r="C7141" s="1" t="n">
        <v>46011</v>
      </c>
      <c r="D7141" t="inlineStr">
        <is>
          <t>VÄSTRA GÖTALANDS LÄN</t>
        </is>
      </c>
      <c r="E7141" t="inlineStr">
        <is>
          <t>VARA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60549-2024</t>
        </is>
      </c>
      <c r="B7142" s="1" t="n">
        <v>45643.81032407407</v>
      </c>
      <c r="C7142" s="1" t="n">
        <v>46011</v>
      </c>
      <c r="D7142" t="inlineStr">
        <is>
          <t>VÄSTRA GÖTALANDS LÄN</t>
        </is>
      </c>
      <c r="E7142" t="inlineStr">
        <is>
          <t>TIDAHOLM</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35394-2023</t>
        </is>
      </c>
      <c r="B7143" s="1" t="n">
        <v>45146</v>
      </c>
      <c r="C7143" s="1" t="n">
        <v>46011</v>
      </c>
      <c r="D7143" t="inlineStr">
        <is>
          <t>VÄSTRA GÖTALANDS LÄN</t>
        </is>
      </c>
      <c r="E7143" t="inlineStr">
        <is>
          <t>GRÄSTORP</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5523-2023</t>
        </is>
      </c>
      <c r="B7144" s="1" t="n">
        <v>44960</v>
      </c>
      <c r="C7144" s="1" t="n">
        <v>46011</v>
      </c>
      <c r="D7144" t="inlineStr">
        <is>
          <t>VÄSTRA GÖTALANDS LÄN</t>
        </is>
      </c>
      <c r="E7144" t="inlineStr">
        <is>
          <t>VÅRGÅRDA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5559-2023</t>
        </is>
      </c>
      <c r="B7145" s="1" t="n">
        <v>44957</v>
      </c>
      <c r="C7145" s="1" t="n">
        <v>46011</v>
      </c>
      <c r="D7145" t="inlineStr">
        <is>
          <t>VÄSTRA GÖTALANDS LÄN</t>
        </is>
      </c>
      <c r="E7145" t="inlineStr">
        <is>
          <t>SKARA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5577-2023</t>
        </is>
      </c>
      <c r="B7146" s="1" t="n">
        <v>44960.49412037037</v>
      </c>
      <c r="C7146" s="1" t="n">
        <v>46011</v>
      </c>
      <c r="D7146" t="inlineStr">
        <is>
          <t>VÄSTRA GÖTALANDS LÄN</t>
        </is>
      </c>
      <c r="E7146" t="inlineStr">
        <is>
          <t>LIDKÖPING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60254-2024</t>
        </is>
      </c>
      <c r="B7147" s="1" t="n">
        <v>45642</v>
      </c>
      <c r="C7147" s="1" t="n">
        <v>46011</v>
      </c>
      <c r="D7147" t="inlineStr">
        <is>
          <t>VÄSTRA GÖTALANDS LÄN</t>
        </is>
      </c>
      <c r="E7147" t="inlineStr">
        <is>
          <t>TIBRO</t>
        </is>
      </c>
      <c r="G7147" t="n">
        <v>13.4</v>
      </c>
      <c r="H7147" t="n">
        <v>0</v>
      </c>
      <c r="I7147" t="n">
        <v>0</v>
      </c>
      <c r="J7147" t="n">
        <v>0</v>
      </c>
      <c r="K7147" t="n">
        <v>0</v>
      </c>
      <c r="L7147" t="n">
        <v>0</v>
      </c>
      <c r="M7147" t="n">
        <v>0</v>
      </c>
      <c r="N7147" t="n">
        <v>0</v>
      </c>
      <c r="O7147" t="n">
        <v>0</v>
      </c>
      <c r="P7147" t="n">
        <v>0</v>
      </c>
      <c r="Q7147" t="n">
        <v>0</v>
      </c>
      <c r="R7147" s="2" t="inlineStr"/>
    </row>
    <row r="7148" ht="15" customHeight="1">
      <c r="A7148" t="inlineStr">
        <is>
          <t>A 60260-2024</t>
        </is>
      </c>
      <c r="B7148" s="1" t="n">
        <v>45642</v>
      </c>
      <c r="C7148" s="1" t="n">
        <v>46011</v>
      </c>
      <c r="D7148" t="inlineStr">
        <is>
          <t>VÄSTRA GÖTALANDS LÄN</t>
        </is>
      </c>
      <c r="E7148" t="inlineStr">
        <is>
          <t>TIBRO</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60290-2024</t>
        </is>
      </c>
      <c r="B7149" s="1" t="n">
        <v>45642.97949074074</v>
      </c>
      <c r="C7149" s="1" t="n">
        <v>46011</v>
      </c>
      <c r="D7149" t="inlineStr">
        <is>
          <t>VÄSTRA GÖTALANDS LÄN</t>
        </is>
      </c>
      <c r="E7149" t="inlineStr">
        <is>
          <t>LIDKÖPING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35546-2025</t>
        </is>
      </c>
      <c r="B7150" s="1" t="n">
        <v>45856.48460648148</v>
      </c>
      <c r="C7150" s="1" t="n">
        <v>46011</v>
      </c>
      <c r="D7150" t="inlineStr">
        <is>
          <t>VÄSTRA GÖTALANDS LÄN</t>
        </is>
      </c>
      <c r="E7150" t="inlineStr">
        <is>
          <t>ULRICEHAMN</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55996-2025</t>
        </is>
      </c>
      <c r="B7151" s="1" t="n">
        <v>45973.5675</v>
      </c>
      <c r="C7151" s="1" t="n">
        <v>46011</v>
      </c>
      <c r="D7151" t="inlineStr">
        <is>
          <t>VÄSTRA GÖTALANDS LÄN</t>
        </is>
      </c>
      <c r="E7151" t="inlineStr">
        <is>
          <t>BENGTSFORS</t>
        </is>
      </c>
      <c r="G7151" t="n">
        <v>13.1</v>
      </c>
      <c r="H7151" t="n">
        <v>0</v>
      </c>
      <c r="I7151" t="n">
        <v>0</v>
      </c>
      <c r="J7151" t="n">
        <v>0</v>
      </c>
      <c r="K7151" t="n">
        <v>0</v>
      </c>
      <c r="L7151" t="n">
        <v>0</v>
      </c>
      <c r="M7151" t="n">
        <v>0</v>
      </c>
      <c r="N7151" t="n">
        <v>0</v>
      </c>
      <c r="O7151" t="n">
        <v>0</v>
      </c>
      <c r="P7151" t="n">
        <v>0</v>
      </c>
      <c r="Q7151" t="n">
        <v>0</v>
      </c>
      <c r="R7151" s="2" t="inlineStr"/>
    </row>
    <row r="7152" ht="15" customHeight="1">
      <c r="A7152" t="inlineStr">
        <is>
          <t>A 1197-2025</t>
        </is>
      </c>
      <c r="B7152" s="1" t="n">
        <v>45667.38278935185</v>
      </c>
      <c r="C7152" s="1" t="n">
        <v>46011</v>
      </c>
      <c r="D7152" t="inlineStr">
        <is>
          <t>VÄSTRA GÖTALANDS LÄN</t>
        </is>
      </c>
      <c r="E7152" t="inlineStr">
        <is>
          <t>VARA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3022-2025</t>
        </is>
      </c>
      <c r="B7153" s="1" t="n">
        <v>45678.58040509259</v>
      </c>
      <c r="C7153" s="1" t="n">
        <v>46011</v>
      </c>
      <c r="D7153" t="inlineStr">
        <is>
          <t>VÄSTRA GÖTALANDS LÄN</t>
        </is>
      </c>
      <c r="E7153" t="inlineStr">
        <is>
          <t>HERRLJUNGA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3131-2023</t>
        </is>
      </c>
      <c r="B7154" s="1" t="n">
        <v>44946</v>
      </c>
      <c r="C7154" s="1" t="n">
        <v>46011</v>
      </c>
      <c r="D7154" t="inlineStr">
        <is>
          <t>VÄSTRA GÖTALANDS LÄN</t>
        </is>
      </c>
      <c r="E7154" t="inlineStr">
        <is>
          <t>TANUM</t>
        </is>
      </c>
      <c r="G7154" t="n">
        <v>11.4</v>
      </c>
      <c r="H7154" t="n">
        <v>0</v>
      </c>
      <c r="I7154" t="n">
        <v>0</v>
      </c>
      <c r="J7154" t="n">
        <v>0</v>
      </c>
      <c r="K7154" t="n">
        <v>0</v>
      </c>
      <c r="L7154" t="n">
        <v>0</v>
      </c>
      <c r="M7154" t="n">
        <v>0</v>
      </c>
      <c r="N7154" t="n">
        <v>0</v>
      </c>
      <c r="O7154" t="n">
        <v>0</v>
      </c>
      <c r="P7154" t="n">
        <v>0</v>
      </c>
      <c r="Q7154" t="n">
        <v>0</v>
      </c>
      <c r="R7154" s="2" t="inlineStr"/>
    </row>
    <row r="7155" ht="15" customHeight="1">
      <c r="A7155" t="inlineStr">
        <is>
          <t>A 35420-2025</t>
        </is>
      </c>
      <c r="B7155" s="1" t="n">
        <v>45855.41025462963</v>
      </c>
      <c r="C7155" s="1" t="n">
        <v>46011</v>
      </c>
      <c r="D7155" t="inlineStr">
        <is>
          <t>VÄSTRA GÖTALANDS LÄN</t>
        </is>
      </c>
      <c r="E7155" t="inlineStr">
        <is>
          <t>LILLA EDET</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47896-2025</t>
        </is>
      </c>
      <c r="B7156" s="1" t="n">
        <v>45932.49059027778</v>
      </c>
      <c r="C7156" s="1" t="n">
        <v>46011</v>
      </c>
      <c r="D7156" t="inlineStr">
        <is>
          <t>VÄSTRA GÖTALANDS LÄN</t>
        </is>
      </c>
      <c r="E7156" t="inlineStr">
        <is>
          <t>ULRICEHAMN</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35384-2025</t>
        </is>
      </c>
      <c r="B7157" s="1" t="n">
        <v>45855.31493055556</v>
      </c>
      <c r="C7157" s="1" t="n">
        <v>46011</v>
      </c>
      <c r="D7157" t="inlineStr">
        <is>
          <t>VÄSTRA GÖTALANDS LÄN</t>
        </is>
      </c>
      <c r="E7157" t="inlineStr">
        <is>
          <t>MARK</t>
        </is>
      </c>
      <c r="G7157" t="n">
        <v>9.800000000000001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35398-2025</t>
        </is>
      </c>
      <c r="B7158" s="1" t="n">
        <v>45855.33596064815</v>
      </c>
      <c r="C7158" s="1" t="n">
        <v>46011</v>
      </c>
      <c r="D7158" t="inlineStr">
        <is>
          <t>VÄSTRA GÖTALANDS LÄN</t>
        </is>
      </c>
      <c r="E7158" t="inlineStr">
        <is>
          <t>SVENLJUNGA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35400-2025</t>
        </is>
      </c>
      <c r="B7159" s="1" t="n">
        <v>45855.34162037037</v>
      </c>
      <c r="C7159" s="1" t="n">
        <v>46011</v>
      </c>
      <c r="D7159" t="inlineStr">
        <is>
          <t>VÄSTRA GÖTALANDS LÄN</t>
        </is>
      </c>
      <c r="E7159" t="inlineStr">
        <is>
          <t>BORÅS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35404-2025</t>
        </is>
      </c>
      <c r="B7160" s="1" t="n">
        <v>45855.35253472222</v>
      </c>
      <c r="C7160" s="1" t="n">
        <v>46011</v>
      </c>
      <c r="D7160" t="inlineStr">
        <is>
          <t>VÄSTRA GÖTALANDS LÄN</t>
        </is>
      </c>
      <c r="E7160" t="inlineStr">
        <is>
          <t>HÄRRYDA</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35406-2025</t>
        </is>
      </c>
      <c r="B7161" s="1" t="n">
        <v>45855.35803240741</v>
      </c>
      <c r="C7161" s="1" t="n">
        <v>46011</v>
      </c>
      <c r="D7161" t="inlineStr">
        <is>
          <t>VÄSTRA GÖTALANDS LÄN</t>
        </is>
      </c>
      <c r="E7161" t="inlineStr">
        <is>
          <t>SVENLJUNGA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51137-2024</t>
        </is>
      </c>
      <c r="B7162" s="1" t="n">
        <v>45603.53729166667</v>
      </c>
      <c r="C7162" s="1" t="n">
        <v>46011</v>
      </c>
      <c r="D7162" t="inlineStr">
        <is>
          <t>VÄSTRA GÖTALANDS LÄN</t>
        </is>
      </c>
      <c r="E7162" t="inlineStr">
        <is>
          <t>ULRICEHAMN</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47817-2025</t>
        </is>
      </c>
      <c r="B7163" s="1" t="n">
        <v>45932.33381944444</v>
      </c>
      <c r="C7163" s="1" t="n">
        <v>46011</v>
      </c>
      <c r="D7163" t="inlineStr">
        <is>
          <t>VÄSTRA GÖTALANDS LÄN</t>
        </is>
      </c>
      <c r="E7163" t="inlineStr">
        <is>
          <t>GRÄSTORP</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56050-2025</t>
        </is>
      </c>
      <c r="B7164" s="1" t="n">
        <v>45973.62712962963</v>
      </c>
      <c r="C7164" s="1" t="n">
        <v>46011</v>
      </c>
      <c r="D7164" t="inlineStr">
        <is>
          <t>VÄSTRA GÖTALANDS LÄN</t>
        </is>
      </c>
      <c r="E7164" t="inlineStr">
        <is>
          <t>DALS-ED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55836-2025</t>
        </is>
      </c>
      <c r="B7165" s="1" t="n">
        <v>45972.86952546296</v>
      </c>
      <c r="C7165" s="1" t="n">
        <v>46011</v>
      </c>
      <c r="D7165" t="inlineStr">
        <is>
          <t>VÄSTRA GÖTALANDS LÄN</t>
        </is>
      </c>
      <c r="E7165" t="inlineStr">
        <is>
          <t>TANUM</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55739-2025</t>
        </is>
      </c>
      <c r="B7166" s="1" t="n">
        <v>45972.56716435185</v>
      </c>
      <c r="C7166" s="1" t="n">
        <v>46011</v>
      </c>
      <c r="D7166" t="inlineStr">
        <is>
          <t>VÄSTRA GÖTALANDS LÄN</t>
        </is>
      </c>
      <c r="E7166" t="inlineStr">
        <is>
          <t>TANUM</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51160-2024</t>
        </is>
      </c>
      <c r="B7167" s="1" t="n">
        <v>45603.57885416667</v>
      </c>
      <c r="C7167" s="1" t="n">
        <v>46011</v>
      </c>
      <c r="D7167" t="inlineStr">
        <is>
          <t>VÄSTRA GÖTALANDS LÄN</t>
        </is>
      </c>
      <c r="E7167" t="inlineStr">
        <is>
          <t>BORÅS</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56349-2025</t>
        </is>
      </c>
      <c r="B7168" s="1" t="n">
        <v>45974.65145833333</v>
      </c>
      <c r="C7168" s="1" t="n">
        <v>46011</v>
      </c>
      <c r="D7168" t="inlineStr">
        <is>
          <t>VÄSTRA GÖTALANDS LÄN</t>
        </is>
      </c>
      <c r="E7168" t="inlineStr">
        <is>
          <t>MELLERUD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56381-2025</t>
        </is>
      </c>
      <c r="B7169" s="1" t="n">
        <v>45974.7060300926</v>
      </c>
      <c r="C7169" s="1" t="n">
        <v>46011</v>
      </c>
      <c r="D7169" t="inlineStr">
        <is>
          <t>VÄSTRA GÖTALANDS LÄN</t>
        </is>
      </c>
      <c r="E7169" t="inlineStr">
        <is>
          <t>VÅRGÅRDA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50062-2024</t>
        </is>
      </c>
      <c r="B7170" s="1" t="n">
        <v>45600.34857638889</v>
      </c>
      <c r="C7170" s="1" t="n">
        <v>46011</v>
      </c>
      <c r="D7170" t="inlineStr">
        <is>
          <t>VÄSTRA GÖTALANDS LÄN</t>
        </is>
      </c>
      <c r="E7170" t="inlineStr">
        <is>
          <t>ULRICEHAMN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47562-2025</t>
        </is>
      </c>
      <c r="B7171" s="1" t="n">
        <v>45931.38734953704</v>
      </c>
      <c r="C7171" s="1" t="n">
        <v>46011</v>
      </c>
      <c r="D7171" t="inlineStr">
        <is>
          <t>VÄSTRA GÖTALANDS LÄN</t>
        </is>
      </c>
      <c r="E7171" t="inlineStr">
        <is>
          <t>ALINGSÅS</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34354-2023</t>
        </is>
      </c>
      <c r="B7172" s="1" t="n">
        <v>45139</v>
      </c>
      <c r="C7172" s="1" t="n">
        <v>46011</v>
      </c>
      <c r="D7172" t="inlineStr">
        <is>
          <t>VÄSTRA GÖTALANDS LÄN</t>
        </is>
      </c>
      <c r="E7172" t="inlineStr">
        <is>
          <t>ORUST</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47569-2025</t>
        </is>
      </c>
      <c r="B7173" s="1" t="n">
        <v>45931.39331018519</v>
      </c>
      <c r="C7173" s="1" t="n">
        <v>46011</v>
      </c>
      <c r="D7173" t="inlineStr">
        <is>
          <t>VÄSTRA GÖTALANDS LÄN</t>
        </is>
      </c>
      <c r="E7173" t="inlineStr">
        <is>
          <t>KUNGÄLV</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35377-2025</t>
        </is>
      </c>
      <c r="B7174" s="1" t="n">
        <v>45855.28851851852</v>
      </c>
      <c r="C7174" s="1" t="n">
        <v>46011</v>
      </c>
      <c r="D7174" t="inlineStr">
        <is>
          <t>VÄSTRA GÖTALANDS LÄN</t>
        </is>
      </c>
      <c r="E7174" t="inlineStr">
        <is>
          <t>MARK</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35379-2025</t>
        </is>
      </c>
      <c r="B7175" s="1" t="n">
        <v>45855.29523148148</v>
      </c>
      <c r="C7175" s="1" t="n">
        <v>46011</v>
      </c>
      <c r="D7175" t="inlineStr">
        <is>
          <t>VÄSTRA GÖTALANDS LÄN</t>
        </is>
      </c>
      <c r="E7175" t="inlineStr">
        <is>
          <t>BORÅS</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35385-2025</t>
        </is>
      </c>
      <c r="B7176" s="1" t="n">
        <v>45855</v>
      </c>
      <c r="C7176" s="1" t="n">
        <v>46011</v>
      </c>
      <c r="D7176" t="inlineStr">
        <is>
          <t>VÄSTRA GÖTALANDS LÄN</t>
        </is>
      </c>
      <c r="E7176" t="inlineStr">
        <is>
          <t>TIDAHOLM</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35386-2025</t>
        </is>
      </c>
      <c r="B7177" s="1" t="n">
        <v>45855</v>
      </c>
      <c r="C7177" s="1" t="n">
        <v>46011</v>
      </c>
      <c r="D7177" t="inlineStr">
        <is>
          <t>VÄSTRA GÖTALANDS LÄN</t>
        </is>
      </c>
      <c r="E7177" t="inlineStr">
        <is>
          <t>TIDAHOLM</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35387-2025</t>
        </is>
      </c>
      <c r="B7178" s="1" t="n">
        <v>45855</v>
      </c>
      <c r="C7178" s="1" t="n">
        <v>46011</v>
      </c>
      <c r="D7178" t="inlineStr">
        <is>
          <t>VÄSTRA GÖTALANDS LÄN</t>
        </is>
      </c>
      <c r="E7178" t="inlineStr">
        <is>
          <t>TIDAHOLM</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56084-2025</t>
        </is>
      </c>
      <c r="B7179" s="1" t="n">
        <v>45973.66523148148</v>
      </c>
      <c r="C7179" s="1" t="n">
        <v>46011</v>
      </c>
      <c r="D7179" t="inlineStr">
        <is>
          <t>VÄSTRA GÖTALANDS LÄN</t>
        </is>
      </c>
      <c r="E7179" t="inlineStr">
        <is>
          <t>DALS-ED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35403-2025</t>
        </is>
      </c>
      <c r="B7180" s="1" t="n">
        <v>45855.3478125</v>
      </c>
      <c r="C7180" s="1" t="n">
        <v>46011</v>
      </c>
      <c r="D7180" t="inlineStr">
        <is>
          <t>VÄSTRA GÖTALANDS LÄN</t>
        </is>
      </c>
      <c r="E7180" t="inlineStr">
        <is>
          <t>BORÅS</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11021-2023</t>
        </is>
      </c>
      <c r="B7181" s="1" t="n">
        <v>44991.81690972222</v>
      </c>
      <c r="C7181" s="1" t="n">
        <v>46011</v>
      </c>
      <c r="D7181" t="inlineStr">
        <is>
          <t>VÄSTRA GÖTALANDS LÄN</t>
        </is>
      </c>
      <c r="E7181" t="inlineStr">
        <is>
          <t>UDDEVALLA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11024-2023</t>
        </is>
      </c>
      <c r="B7182" s="1" t="n">
        <v>44991.86207175926</v>
      </c>
      <c r="C7182" s="1" t="n">
        <v>46011</v>
      </c>
      <c r="D7182" t="inlineStr">
        <is>
          <t>VÄSTRA GÖTALANDS LÄN</t>
        </is>
      </c>
      <c r="E7182" t="inlineStr">
        <is>
          <t>ALINGSÅS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35416-2025</t>
        </is>
      </c>
      <c r="B7183" s="1" t="n">
        <v>45855.40481481481</v>
      </c>
      <c r="C7183" s="1" t="n">
        <v>46011</v>
      </c>
      <c r="D7183" t="inlineStr">
        <is>
          <t>VÄSTRA GÖTALANDS LÄN</t>
        </is>
      </c>
      <c r="E7183" t="inlineStr">
        <is>
          <t>LILLA EDET</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48041-2025</t>
        </is>
      </c>
      <c r="B7184" s="1" t="n">
        <v>45932</v>
      </c>
      <c r="C7184" s="1" t="n">
        <v>46011</v>
      </c>
      <c r="D7184" t="inlineStr">
        <is>
          <t>VÄSTRA GÖTALANDS LÄN</t>
        </is>
      </c>
      <c r="E7184" t="inlineStr">
        <is>
          <t>ÅMÅL</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61047-2024</t>
        </is>
      </c>
      <c r="B7185" s="1" t="n">
        <v>45645.47907407407</v>
      </c>
      <c r="C7185" s="1" t="n">
        <v>46011</v>
      </c>
      <c r="D7185" t="inlineStr">
        <is>
          <t>VÄSTRA GÖTALANDS LÄN</t>
        </is>
      </c>
      <c r="E7185" t="inlineStr">
        <is>
          <t>BENGTSFORS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47783-2025</t>
        </is>
      </c>
      <c r="B7186" s="1" t="n">
        <v>45931.76866898148</v>
      </c>
      <c r="C7186" s="1" t="n">
        <v>46011</v>
      </c>
      <c r="D7186" t="inlineStr">
        <is>
          <t>VÄSTRA GÖTALANDS LÄN</t>
        </is>
      </c>
      <c r="E7186" t="inlineStr">
        <is>
          <t>VÄNERSBORG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47820-2025</t>
        </is>
      </c>
      <c r="B7187" s="1" t="n">
        <v>45932.34094907407</v>
      </c>
      <c r="C7187" s="1" t="n">
        <v>46011</v>
      </c>
      <c r="D7187" t="inlineStr">
        <is>
          <t>VÄSTRA GÖTALANDS LÄN</t>
        </is>
      </c>
      <c r="E7187" t="inlineStr">
        <is>
          <t>GRÄSTORP</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52902-2024</t>
        </is>
      </c>
      <c r="B7188" s="1" t="n">
        <v>45610.68715277778</v>
      </c>
      <c r="C7188" s="1" t="n">
        <v>46011</v>
      </c>
      <c r="D7188" t="inlineStr">
        <is>
          <t>VÄSTRA GÖTALANDS LÄN</t>
        </is>
      </c>
      <c r="E7188" t="inlineStr">
        <is>
          <t>STRÖMSTAD</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35388-2025</t>
        </is>
      </c>
      <c r="B7189" s="1" t="n">
        <v>45855</v>
      </c>
      <c r="C7189" s="1" t="n">
        <v>46011</v>
      </c>
      <c r="D7189" t="inlineStr">
        <is>
          <t>VÄSTRA GÖTALANDS LÄN</t>
        </is>
      </c>
      <c r="E7189" t="inlineStr">
        <is>
          <t>TIDAHOLM</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31754-2022</t>
        </is>
      </c>
      <c r="B7190" s="1" t="n">
        <v>44776</v>
      </c>
      <c r="C7190" s="1" t="n">
        <v>46011</v>
      </c>
      <c r="D7190" t="inlineStr">
        <is>
          <t>VÄSTRA GÖTALANDS LÄN</t>
        </is>
      </c>
      <c r="E7190" t="inlineStr">
        <is>
          <t>DALS-ED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47853-2025</t>
        </is>
      </c>
      <c r="B7191" s="1" t="n">
        <v>45932.39295138889</v>
      </c>
      <c r="C7191" s="1" t="n">
        <v>46011</v>
      </c>
      <c r="D7191" t="inlineStr">
        <is>
          <t>VÄSTRA GÖTALANDS LÄN</t>
        </is>
      </c>
      <c r="E7191" t="inlineStr">
        <is>
          <t>BENGTSFORS</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52985-2024</t>
        </is>
      </c>
      <c r="B7192" s="1" t="n">
        <v>45611.35905092592</v>
      </c>
      <c r="C7192" s="1" t="n">
        <v>46011</v>
      </c>
      <c r="D7192" t="inlineStr">
        <is>
          <t>VÄSTRA GÖTALANDS LÄN</t>
        </is>
      </c>
      <c r="E7192" t="inlineStr">
        <is>
          <t>TÖREBODA</t>
        </is>
      </c>
      <c r="F7192" t="inlineStr">
        <is>
          <t>Sveaskog</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56203-2025</t>
        </is>
      </c>
      <c r="B7193" s="1" t="n">
        <v>45974.46780092592</v>
      </c>
      <c r="C7193" s="1" t="n">
        <v>46011</v>
      </c>
      <c r="D7193" t="inlineStr">
        <is>
          <t>VÄSTRA GÖTALANDS LÄN</t>
        </is>
      </c>
      <c r="E7193" t="inlineStr">
        <is>
          <t>BENGTSFORS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56239-2025</t>
        </is>
      </c>
      <c r="B7194" s="1" t="n">
        <v>45974.54357638889</v>
      </c>
      <c r="C7194" s="1" t="n">
        <v>46011</v>
      </c>
      <c r="D7194" t="inlineStr">
        <is>
          <t>VÄSTRA GÖTALANDS LÄN</t>
        </is>
      </c>
      <c r="E7194" t="inlineStr">
        <is>
          <t>DALS-ED</t>
        </is>
      </c>
      <c r="F7194" t="inlineStr">
        <is>
          <t>Övriga Aktiebolag</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29800-2023</t>
        </is>
      </c>
      <c r="B7195" s="1" t="n">
        <v>45107.53695601852</v>
      </c>
      <c r="C7195" s="1" t="n">
        <v>46011</v>
      </c>
      <c r="D7195" t="inlineStr">
        <is>
          <t>VÄSTRA GÖTALANDS LÄN</t>
        </is>
      </c>
      <c r="E7195" t="inlineStr">
        <is>
          <t>BENGTSFORS</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53012-2024</t>
        </is>
      </c>
      <c r="B7196" s="1" t="n">
        <v>45611.40252314815</v>
      </c>
      <c r="C7196" s="1" t="n">
        <v>46011</v>
      </c>
      <c r="D7196" t="inlineStr">
        <is>
          <t>VÄSTRA GÖTALANDS LÄN</t>
        </is>
      </c>
      <c r="E7196" t="inlineStr">
        <is>
          <t>ULRICEHAMN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11525-2025</t>
        </is>
      </c>
      <c r="B7197" s="1" t="n">
        <v>45727.2896875</v>
      </c>
      <c r="C7197" s="1" t="n">
        <v>46011</v>
      </c>
      <c r="D7197" t="inlineStr">
        <is>
          <t>VÄSTRA GÖTALANDS LÄN</t>
        </is>
      </c>
      <c r="E7197" t="inlineStr">
        <is>
          <t>FALKÖPING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48012-2025</t>
        </is>
      </c>
      <c r="B7198" s="1" t="n">
        <v>45932.64380787037</v>
      </c>
      <c r="C7198" s="1" t="n">
        <v>46011</v>
      </c>
      <c r="D7198" t="inlineStr">
        <is>
          <t>VÄSTRA GÖTALANDS LÄN</t>
        </is>
      </c>
      <c r="E7198" t="inlineStr">
        <is>
          <t>GÖTENE</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48029-2025</t>
        </is>
      </c>
      <c r="B7199" s="1" t="n">
        <v>45932</v>
      </c>
      <c r="C7199" s="1" t="n">
        <v>46011</v>
      </c>
      <c r="D7199" t="inlineStr">
        <is>
          <t>VÄSTRA GÖTALANDS LÄN</t>
        </is>
      </c>
      <c r="E7199" t="inlineStr">
        <is>
          <t>UDDEVALLA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13510-2022</t>
        </is>
      </c>
      <c r="B7200" s="1" t="n">
        <v>44648</v>
      </c>
      <c r="C7200" s="1" t="n">
        <v>46011</v>
      </c>
      <c r="D7200" t="inlineStr">
        <is>
          <t>VÄSTRA GÖTALANDS LÄN</t>
        </is>
      </c>
      <c r="E7200" t="inlineStr">
        <is>
          <t>TROLLHÄTTAN</t>
        </is>
      </c>
      <c r="G7200" t="n">
        <v>17.6</v>
      </c>
      <c r="H7200" t="n">
        <v>0</v>
      </c>
      <c r="I7200" t="n">
        <v>0</v>
      </c>
      <c r="J7200" t="n">
        <v>0</v>
      </c>
      <c r="K7200" t="n">
        <v>0</v>
      </c>
      <c r="L7200" t="n">
        <v>0</v>
      </c>
      <c r="M7200" t="n">
        <v>0</v>
      </c>
      <c r="N7200" t="n">
        <v>0</v>
      </c>
      <c r="O7200" t="n">
        <v>0</v>
      </c>
      <c r="P7200" t="n">
        <v>0</v>
      </c>
      <c r="Q7200" t="n">
        <v>0</v>
      </c>
      <c r="R7200" s="2" t="inlineStr"/>
    </row>
    <row r="7201" ht="15" customHeight="1">
      <c r="A7201" t="inlineStr">
        <is>
          <t>A 49311-2021</t>
        </is>
      </c>
      <c r="B7201" s="1" t="n">
        <v>44454.513125</v>
      </c>
      <c r="C7201" s="1" t="n">
        <v>46011</v>
      </c>
      <c r="D7201" t="inlineStr">
        <is>
          <t>VÄSTRA GÖTALANDS LÄN</t>
        </is>
      </c>
      <c r="E7201" t="inlineStr">
        <is>
          <t>TRANEMO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16968-2025</t>
        </is>
      </c>
      <c r="B7202" s="1" t="n">
        <v>45755</v>
      </c>
      <c r="C7202" s="1" t="n">
        <v>46011</v>
      </c>
      <c r="D7202" t="inlineStr">
        <is>
          <t>VÄSTRA GÖTALANDS LÄN</t>
        </is>
      </c>
      <c r="E7202" t="inlineStr">
        <is>
          <t>MUNKEDAL</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24127-2024</t>
        </is>
      </c>
      <c r="B7203" s="1" t="n">
        <v>45456.63065972222</v>
      </c>
      <c r="C7203" s="1" t="n">
        <v>46011</v>
      </c>
      <c r="D7203" t="inlineStr">
        <is>
          <t>VÄSTRA GÖTALANDS LÄN</t>
        </is>
      </c>
      <c r="E7203" t="inlineStr">
        <is>
          <t>TROLLHÄTTAN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43097-2024</t>
        </is>
      </c>
      <c r="B7204" s="1" t="n">
        <v>45567.54149305556</v>
      </c>
      <c r="C7204" s="1" t="n">
        <v>46011</v>
      </c>
      <c r="D7204" t="inlineStr">
        <is>
          <t>VÄSTRA GÖTALANDS LÄN</t>
        </is>
      </c>
      <c r="E7204" t="inlineStr">
        <is>
          <t>GULLSPÅNG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43135-2024</t>
        </is>
      </c>
      <c r="B7205" s="1" t="n">
        <v>45567.60662037037</v>
      </c>
      <c r="C7205" s="1" t="n">
        <v>46011</v>
      </c>
      <c r="D7205" t="inlineStr">
        <is>
          <t>VÄSTRA GÖTALANDS LÄN</t>
        </is>
      </c>
      <c r="E7205" t="inlineStr">
        <is>
          <t>HERRLJUNGA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10640-2025</t>
        </is>
      </c>
      <c r="B7206" s="1" t="n">
        <v>45721</v>
      </c>
      <c r="C7206" s="1" t="n">
        <v>46011</v>
      </c>
      <c r="D7206" t="inlineStr">
        <is>
          <t>VÄSTRA GÖTALANDS LÄN</t>
        </is>
      </c>
      <c r="E7206" t="inlineStr">
        <is>
          <t>TROLLHÄTTAN</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35621-2025</t>
        </is>
      </c>
      <c r="B7207" s="1" t="n">
        <v>45859.4146875</v>
      </c>
      <c r="C7207" s="1" t="n">
        <v>46011</v>
      </c>
      <c r="D7207" t="inlineStr">
        <is>
          <t>VÄSTRA GÖTALANDS LÄN</t>
        </is>
      </c>
      <c r="E7207" t="inlineStr">
        <is>
          <t>VÅRGÅRDA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50673-2024</t>
        </is>
      </c>
      <c r="B7208" s="1" t="n">
        <v>45601.84043981481</v>
      </c>
      <c r="C7208" s="1" t="n">
        <v>46011</v>
      </c>
      <c r="D7208" t="inlineStr">
        <is>
          <t>VÄSTRA GÖTALANDS LÄN</t>
        </is>
      </c>
      <c r="E7208" t="inlineStr">
        <is>
          <t>VARA</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47499-2025</t>
        </is>
      </c>
      <c r="B7209" s="1" t="n">
        <v>45930.84449074074</v>
      </c>
      <c r="C7209" s="1" t="n">
        <v>46011</v>
      </c>
      <c r="D7209" t="inlineStr">
        <is>
          <t>VÄSTRA GÖTALANDS LÄN</t>
        </is>
      </c>
      <c r="E7209" t="inlineStr">
        <is>
          <t>BORÅS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47518-2025</t>
        </is>
      </c>
      <c r="B7210" s="1" t="n">
        <v>45931.30692129629</v>
      </c>
      <c r="C7210" s="1" t="n">
        <v>46011</v>
      </c>
      <c r="D7210" t="inlineStr">
        <is>
          <t>VÄSTRA GÖTALANDS LÄN</t>
        </is>
      </c>
      <c r="E7210" t="inlineStr">
        <is>
          <t>TIDAHOLM</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15067-2025</t>
        </is>
      </c>
      <c r="B7211" s="1" t="n">
        <v>45743.76568287037</v>
      </c>
      <c r="C7211" s="1" t="n">
        <v>46011</v>
      </c>
      <c r="D7211" t="inlineStr">
        <is>
          <t>VÄSTRA GÖTALANDS LÄN</t>
        </is>
      </c>
      <c r="E7211" t="inlineStr">
        <is>
          <t>VÄNERSBORG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27354-2024</t>
        </is>
      </c>
      <c r="B7212" s="1" t="n">
        <v>45473</v>
      </c>
      <c r="C7212" s="1" t="n">
        <v>46011</v>
      </c>
      <c r="D7212" t="inlineStr">
        <is>
          <t>VÄSTRA GÖTALANDS LÄN</t>
        </is>
      </c>
      <c r="E7212" t="inlineStr">
        <is>
          <t>TIDAHOLM</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25624-2025</t>
        </is>
      </c>
      <c r="B7213" s="1" t="n">
        <v>45803.57885416667</v>
      </c>
      <c r="C7213" s="1" t="n">
        <v>46011</v>
      </c>
      <c r="D7213" t="inlineStr">
        <is>
          <t>VÄSTRA GÖTALANDS LÄN</t>
        </is>
      </c>
      <c r="E7213" t="inlineStr">
        <is>
          <t>KUNGÄLV</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61559-2023</t>
        </is>
      </c>
      <c r="B7214" s="1" t="n">
        <v>45265</v>
      </c>
      <c r="C7214" s="1" t="n">
        <v>46011</v>
      </c>
      <c r="D7214" t="inlineStr">
        <is>
          <t>VÄSTRA GÖTALANDS LÄN</t>
        </is>
      </c>
      <c r="E7214" t="inlineStr">
        <is>
          <t>KARLSBORG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13177-2025</t>
        </is>
      </c>
      <c r="B7215" s="1" t="n">
        <v>45735.37274305556</v>
      </c>
      <c r="C7215" s="1" t="n">
        <v>46011</v>
      </c>
      <c r="D7215" t="inlineStr">
        <is>
          <t>VÄSTRA GÖTALANDS LÄN</t>
        </is>
      </c>
      <c r="E7215" t="inlineStr">
        <is>
          <t>HJO</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52318-2024</t>
        </is>
      </c>
      <c r="B7216" s="1" t="n">
        <v>45608.95855324074</v>
      </c>
      <c r="C7216" s="1" t="n">
        <v>46011</v>
      </c>
      <c r="D7216" t="inlineStr">
        <is>
          <t>VÄSTRA GÖTALANDS LÄN</t>
        </is>
      </c>
      <c r="E7216" t="inlineStr">
        <is>
          <t>FALKÖPING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53251-2024</t>
        </is>
      </c>
      <c r="B7217" s="1" t="n">
        <v>45614.3022337963</v>
      </c>
      <c r="C7217" s="1" t="n">
        <v>46011</v>
      </c>
      <c r="D7217" t="inlineStr">
        <is>
          <t>VÄSTRA GÖTALANDS LÄN</t>
        </is>
      </c>
      <c r="E7217" t="inlineStr">
        <is>
          <t>KARLSBORG</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3992-2023</t>
        </is>
      </c>
      <c r="B7218" s="1" t="n">
        <v>44952</v>
      </c>
      <c r="C7218" s="1" t="n">
        <v>46011</v>
      </c>
      <c r="D7218" t="inlineStr">
        <is>
          <t>VÄSTRA GÖTALANDS LÄN</t>
        </is>
      </c>
      <c r="E7218" t="inlineStr">
        <is>
          <t>MELLERUD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55837-2025</t>
        </is>
      </c>
      <c r="B7219" s="1" t="n">
        <v>45972.88298611111</v>
      </c>
      <c r="C7219" s="1" t="n">
        <v>46011</v>
      </c>
      <c r="D7219" t="inlineStr">
        <is>
          <t>VÄSTRA GÖTALANDS LÄN</t>
        </is>
      </c>
      <c r="E7219" t="inlineStr">
        <is>
          <t>TANUM</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47894-2025</t>
        </is>
      </c>
      <c r="B7220" s="1" t="n">
        <v>45932.47908564815</v>
      </c>
      <c r="C7220" s="1" t="n">
        <v>46011</v>
      </c>
      <c r="D7220" t="inlineStr">
        <is>
          <t>VÄSTRA GÖTALANDS LÄN</t>
        </is>
      </c>
      <c r="E7220" t="inlineStr">
        <is>
          <t>ULRICEHAMN</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4043-2023</t>
        </is>
      </c>
      <c r="B7221" s="1" t="n">
        <v>44952.60282407407</v>
      </c>
      <c r="C7221" s="1" t="n">
        <v>46011</v>
      </c>
      <c r="D7221" t="inlineStr">
        <is>
          <t>VÄSTRA GÖTALANDS LÄN</t>
        </is>
      </c>
      <c r="E7221" t="inlineStr">
        <is>
          <t>DALS-ED</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40037-2021</t>
        </is>
      </c>
      <c r="B7222" s="1" t="n">
        <v>44418</v>
      </c>
      <c r="C7222" s="1" t="n">
        <v>46011</v>
      </c>
      <c r="D7222" t="inlineStr">
        <is>
          <t>VÄSTRA GÖTALANDS LÄN</t>
        </is>
      </c>
      <c r="E7222" t="inlineStr">
        <is>
          <t>UDDEVALLA</t>
        </is>
      </c>
      <c r="G7222" t="n">
        <v>10.3</v>
      </c>
      <c r="H7222" t="n">
        <v>0</v>
      </c>
      <c r="I7222" t="n">
        <v>0</v>
      </c>
      <c r="J7222" t="n">
        <v>0</v>
      </c>
      <c r="K7222" t="n">
        <v>0</v>
      </c>
      <c r="L7222" t="n">
        <v>0</v>
      </c>
      <c r="M7222" t="n">
        <v>0</v>
      </c>
      <c r="N7222" t="n">
        <v>0</v>
      </c>
      <c r="O7222" t="n">
        <v>0</v>
      </c>
      <c r="P7222" t="n">
        <v>0</v>
      </c>
      <c r="Q7222" t="n">
        <v>0</v>
      </c>
      <c r="R7222" s="2" t="inlineStr"/>
    </row>
    <row r="7223" ht="15" customHeight="1">
      <c r="A7223" t="inlineStr">
        <is>
          <t>A 56357-2022</t>
        </is>
      </c>
      <c r="B7223" s="1" t="n">
        <v>44890.66952546296</v>
      </c>
      <c r="C7223" s="1" t="n">
        <v>46011</v>
      </c>
      <c r="D7223" t="inlineStr">
        <is>
          <t>VÄSTRA GÖTALANDS LÄN</t>
        </is>
      </c>
      <c r="E7223" t="inlineStr">
        <is>
          <t>HERRLJUNGA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53310-2024</t>
        </is>
      </c>
      <c r="B7224" s="1" t="n">
        <v>45614.3945949074</v>
      </c>
      <c r="C7224" s="1" t="n">
        <v>46011</v>
      </c>
      <c r="D7224" t="inlineStr">
        <is>
          <t>VÄSTRA GÖTALANDS LÄN</t>
        </is>
      </c>
      <c r="E7224" t="inlineStr">
        <is>
          <t>MELLERUD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52375-2024</t>
        </is>
      </c>
      <c r="B7225" s="1" t="n">
        <v>45609.40024305556</v>
      </c>
      <c r="C7225" s="1" t="n">
        <v>46011</v>
      </c>
      <c r="D7225" t="inlineStr">
        <is>
          <t>VÄSTRA GÖTALANDS LÄN</t>
        </is>
      </c>
      <c r="E7225" t="inlineStr">
        <is>
          <t>SVENLJUNGA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56458-2024</t>
        </is>
      </c>
      <c r="B7226" s="1" t="n">
        <v>45625.4484837963</v>
      </c>
      <c r="C7226" s="1" t="n">
        <v>46011</v>
      </c>
      <c r="D7226" t="inlineStr">
        <is>
          <t>VÄSTRA GÖTALANDS LÄN</t>
        </is>
      </c>
      <c r="E7226" t="inlineStr">
        <is>
          <t>TRANEMO</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13509-2024</t>
        </is>
      </c>
      <c r="B7227" s="1" t="n">
        <v>45387.68763888889</v>
      </c>
      <c r="C7227" s="1" t="n">
        <v>46011</v>
      </c>
      <c r="D7227" t="inlineStr">
        <is>
          <t>VÄSTRA GÖTALANDS LÄN</t>
        </is>
      </c>
      <c r="E7227" t="inlineStr">
        <is>
          <t>SKARA</t>
        </is>
      </c>
      <c r="G7227" t="n">
        <v>10.7</v>
      </c>
      <c r="H7227" t="n">
        <v>0</v>
      </c>
      <c r="I7227" t="n">
        <v>0</v>
      </c>
      <c r="J7227" t="n">
        <v>0</v>
      </c>
      <c r="K7227" t="n">
        <v>0</v>
      </c>
      <c r="L7227" t="n">
        <v>0</v>
      </c>
      <c r="M7227" t="n">
        <v>0</v>
      </c>
      <c r="N7227" t="n">
        <v>0</v>
      </c>
      <c r="O7227" t="n">
        <v>0</v>
      </c>
      <c r="P7227" t="n">
        <v>0</v>
      </c>
      <c r="Q7227" t="n">
        <v>0</v>
      </c>
      <c r="R7227" s="2" t="inlineStr"/>
    </row>
    <row r="7228" ht="15" customHeight="1">
      <c r="A7228" t="inlineStr">
        <is>
          <t>A 52384-2024</t>
        </is>
      </c>
      <c r="B7228" s="1" t="n">
        <v>45609.41439814815</v>
      </c>
      <c r="C7228" s="1" t="n">
        <v>46011</v>
      </c>
      <c r="D7228" t="inlineStr">
        <is>
          <t>VÄSTRA GÖTALANDS LÄN</t>
        </is>
      </c>
      <c r="E7228" t="inlineStr">
        <is>
          <t>ÅMÅL</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53383-2024</t>
        </is>
      </c>
      <c r="B7229" s="1" t="n">
        <v>45614.47771990741</v>
      </c>
      <c r="C7229" s="1" t="n">
        <v>46011</v>
      </c>
      <c r="D7229" t="inlineStr">
        <is>
          <t>VÄSTRA GÖTALANDS LÄN</t>
        </is>
      </c>
      <c r="E7229" t="inlineStr">
        <is>
          <t>TIDAHOLM</t>
        </is>
      </c>
      <c r="F7229" t="inlineStr">
        <is>
          <t>Sveaskog</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53387-2024</t>
        </is>
      </c>
      <c r="B7230" s="1" t="n">
        <v>45614.47966435185</v>
      </c>
      <c r="C7230" s="1" t="n">
        <v>46011</v>
      </c>
      <c r="D7230" t="inlineStr">
        <is>
          <t>VÄSTRA GÖTALANDS LÄN</t>
        </is>
      </c>
      <c r="E7230" t="inlineStr">
        <is>
          <t>TIDAHOLM</t>
        </is>
      </c>
      <c r="F7230" t="inlineStr">
        <is>
          <t>Sveaskog</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11502-2025</t>
        </is>
      </c>
      <c r="B7231" s="1" t="n">
        <v>45726.8008912037</v>
      </c>
      <c r="C7231" s="1" t="n">
        <v>46011</v>
      </c>
      <c r="D7231" t="inlineStr">
        <is>
          <t>VÄSTRA GÖTALANDS LÄN</t>
        </is>
      </c>
      <c r="E7231" t="inlineStr">
        <is>
          <t>FALKÖPING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48085-2025</t>
        </is>
      </c>
      <c r="B7232" s="1" t="n">
        <v>45932</v>
      </c>
      <c r="C7232" s="1" t="n">
        <v>46011</v>
      </c>
      <c r="D7232" t="inlineStr">
        <is>
          <t>VÄSTRA GÖTALANDS LÄN</t>
        </is>
      </c>
      <c r="E7232" t="inlineStr">
        <is>
          <t>ÅMÅL</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5117-2023</t>
        </is>
      </c>
      <c r="B7233" s="1" t="n">
        <v>44958.67679398148</v>
      </c>
      <c r="C7233" s="1" t="n">
        <v>46011</v>
      </c>
      <c r="D7233" t="inlineStr">
        <is>
          <t>VÄSTRA GÖTALANDS LÄN</t>
        </is>
      </c>
      <c r="E7233" t="inlineStr">
        <is>
          <t>DALS-ED</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60321-2024</t>
        </is>
      </c>
      <c r="B7234" s="1" t="n">
        <v>45643.37196759259</v>
      </c>
      <c r="C7234" s="1" t="n">
        <v>46011</v>
      </c>
      <c r="D7234" t="inlineStr">
        <is>
          <t>VÄSTRA GÖTALANDS LÄN</t>
        </is>
      </c>
      <c r="E7234" t="inlineStr">
        <is>
          <t>FÄRGELANDA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20063-2025</t>
        </is>
      </c>
      <c r="B7235" s="1" t="n">
        <v>45772</v>
      </c>
      <c r="C7235" s="1" t="n">
        <v>46011</v>
      </c>
      <c r="D7235" t="inlineStr">
        <is>
          <t>VÄSTRA GÖTALANDS LÄN</t>
        </is>
      </c>
      <c r="E7235" t="inlineStr">
        <is>
          <t>SKARA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35638-2025</t>
        </is>
      </c>
      <c r="B7236" s="1" t="n">
        <v>45859.47175925926</v>
      </c>
      <c r="C7236" s="1" t="n">
        <v>46011</v>
      </c>
      <c r="D7236" t="inlineStr">
        <is>
          <t>VÄSTRA GÖTALANDS LÄN</t>
        </is>
      </c>
      <c r="E7236" t="inlineStr">
        <is>
          <t>HERRLJUNGA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35640-2025</t>
        </is>
      </c>
      <c r="B7237" s="1" t="n">
        <v>45859.47606481481</v>
      </c>
      <c r="C7237" s="1" t="n">
        <v>46011</v>
      </c>
      <c r="D7237" t="inlineStr">
        <is>
          <t>VÄSTRA GÖTALANDS LÄN</t>
        </is>
      </c>
      <c r="E7237" t="inlineStr">
        <is>
          <t>LYSEKIL</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51458-2024</t>
        </is>
      </c>
      <c r="B7238" s="1" t="n">
        <v>45604.49313657408</v>
      </c>
      <c r="C7238" s="1" t="n">
        <v>46011</v>
      </c>
      <c r="D7238" t="inlineStr">
        <is>
          <t>VÄSTRA GÖTALANDS LÄN</t>
        </is>
      </c>
      <c r="E7238" t="inlineStr">
        <is>
          <t>MARK</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47882-2025</t>
        </is>
      </c>
      <c r="B7239" s="1" t="n">
        <v>45932.46203703704</v>
      </c>
      <c r="C7239" s="1" t="n">
        <v>46011</v>
      </c>
      <c r="D7239" t="inlineStr">
        <is>
          <t>VÄSTRA GÖTALANDS LÄN</t>
        </is>
      </c>
      <c r="E7239" t="inlineStr">
        <is>
          <t>STRÖMSTAD</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47892-2025</t>
        </is>
      </c>
      <c r="B7240" s="1" t="n">
        <v>45932.47384259259</v>
      </c>
      <c r="C7240" s="1" t="n">
        <v>46011</v>
      </c>
      <c r="D7240" t="inlineStr">
        <is>
          <t>VÄSTRA GÖTALANDS LÄN</t>
        </is>
      </c>
      <c r="E7240" t="inlineStr">
        <is>
          <t>SKÖVDE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5564-2023</t>
        </is>
      </c>
      <c r="B7241" s="1" t="n">
        <v>44960</v>
      </c>
      <c r="C7241" s="1" t="n">
        <v>46011</v>
      </c>
      <c r="D7241" t="inlineStr">
        <is>
          <t>VÄSTRA GÖTALANDS LÄN</t>
        </is>
      </c>
      <c r="E7241" t="inlineStr">
        <is>
          <t>TIBRO</t>
        </is>
      </c>
      <c r="G7241" t="n">
        <v>6.5</v>
      </c>
      <c r="H7241" t="n">
        <v>0</v>
      </c>
      <c r="I7241" t="n">
        <v>0</v>
      </c>
      <c r="J7241" t="n">
        <v>0</v>
      </c>
      <c r="K7241" t="n">
        <v>0</v>
      </c>
      <c r="L7241" t="n">
        <v>0</v>
      </c>
      <c r="M7241" t="n">
        <v>0</v>
      </c>
      <c r="N7241" t="n">
        <v>0</v>
      </c>
      <c r="O7241" t="n">
        <v>0</v>
      </c>
      <c r="P7241" t="n">
        <v>0</v>
      </c>
      <c r="Q7241" t="n">
        <v>0</v>
      </c>
      <c r="R7241" s="2" t="inlineStr"/>
    </row>
    <row r="7242" ht="15" customHeight="1">
      <c r="A7242" t="inlineStr">
        <is>
          <t>A 5196-2023</t>
        </is>
      </c>
      <c r="B7242" s="1" t="n">
        <v>44959</v>
      </c>
      <c r="C7242" s="1" t="n">
        <v>46011</v>
      </c>
      <c r="D7242" t="inlineStr">
        <is>
          <t>VÄSTRA GÖTALANDS LÄN</t>
        </is>
      </c>
      <c r="E7242" t="inlineStr">
        <is>
          <t>BORÅS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35727-2025</t>
        </is>
      </c>
      <c r="B7243" s="1" t="n">
        <v>45860</v>
      </c>
      <c r="C7243" s="1" t="n">
        <v>46011</v>
      </c>
      <c r="D7243" t="inlineStr">
        <is>
          <t>VÄSTRA GÖTALANDS LÄN</t>
        </is>
      </c>
      <c r="E7243" t="inlineStr">
        <is>
          <t>BORÅS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417-2023</t>
        </is>
      </c>
      <c r="B7244" s="1" t="n">
        <v>44929</v>
      </c>
      <c r="C7244" s="1" t="n">
        <v>46011</v>
      </c>
      <c r="D7244" t="inlineStr">
        <is>
          <t>VÄSTRA GÖTALANDS LÄN</t>
        </is>
      </c>
      <c r="E7244" t="inlineStr">
        <is>
          <t>TIBRO</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421-2023</t>
        </is>
      </c>
      <c r="B7245" s="1" t="n">
        <v>44929.6516550926</v>
      </c>
      <c r="C7245" s="1" t="n">
        <v>46011</v>
      </c>
      <c r="D7245" t="inlineStr">
        <is>
          <t>VÄSTRA GÖTALANDS LÄN</t>
        </is>
      </c>
      <c r="E7245" t="inlineStr">
        <is>
          <t>MUNKEDAL</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23821-2024</t>
        </is>
      </c>
      <c r="B7246" s="1" t="n">
        <v>45455.46270833333</v>
      </c>
      <c r="C7246" s="1" t="n">
        <v>46011</v>
      </c>
      <c r="D7246" t="inlineStr">
        <is>
          <t>VÄSTRA GÖTALANDS LÄN</t>
        </is>
      </c>
      <c r="E7246" t="inlineStr">
        <is>
          <t>MELLERUD</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35768-2025</t>
        </is>
      </c>
      <c r="B7247" s="1" t="n">
        <v>45860</v>
      </c>
      <c r="C7247" s="1" t="n">
        <v>46011</v>
      </c>
      <c r="D7247" t="inlineStr">
        <is>
          <t>VÄSTRA GÖTALANDS LÄN</t>
        </is>
      </c>
      <c r="E7247" t="inlineStr">
        <is>
          <t>HJO</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13245-2021</t>
        </is>
      </c>
      <c r="B7248" s="1" t="n">
        <v>44272.6200462963</v>
      </c>
      <c r="C7248" s="1" t="n">
        <v>46011</v>
      </c>
      <c r="D7248" t="inlineStr">
        <is>
          <t>VÄSTRA GÖTALANDS LÄN</t>
        </is>
      </c>
      <c r="E7248" t="inlineStr">
        <is>
          <t>GÖTENE</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35717-2025</t>
        </is>
      </c>
      <c r="B7249" s="1" t="n">
        <v>45860.42960648148</v>
      </c>
      <c r="C7249" s="1" t="n">
        <v>46011</v>
      </c>
      <c r="D7249" t="inlineStr">
        <is>
          <t>VÄSTRA GÖTALANDS LÄN</t>
        </is>
      </c>
      <c r="E7249" t="inlineStr">
        <is>
          <t>LILLA EDET</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32893-2025</t>
        </is>
      </c>
      <c r="B7250" s="1" t="n">
        <v>45839</v>
      </c>
      <c r="C7250" s="1" t="n">
        <v>46011</v>
      </c>
      <c r="D7250" t="inlineStr">
        <is>
          <t>VÄSTRA GÖTALANDS LÄN</t>
        </is>
      </c>
      <c r="E7250" t="inlineStr">
        <is>
          <t>BORÅS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56169-2025</t>
        </is>
      </c>
      <c r="B7251" s="1" t="n">
        <v>45974.39293981482</v>
      </c>
      <c r="C7251" s="1" t="n">
        <v>46011</v>
      </c>
      <c r="D7251" t="inlineStr">
        <is>
          <t>VÄSTRA GÖTALANDS LÄN</t>
        </is>
      </c>
      <c r="E7251" t="inlineStr">
        <is>
          <t>DALS-ED</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50677-2021</t>
        </is>
      </c>
      <c r="B7252" s="1" t="n">
        <v>44460.32847222222</v>
      </c>
      <c r="C7252" s="1" t="n">
        <v>46011</v>
      </c>
      <c r="D7252" t="inlineStr">
        <is>
          <t>VÄSTRA GÖTALANDS LÄN</t>
        </is>
      </c>
      <c r="E7252" t="inlineStr">
        <is>
          <t>ULRICEHAMN</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61943-2022</t>
        </is>
      </c>
      <c r="B7253" s="1" t="n">
        <v>44918.32068287037</v>
      </c>
      <c r="C7253" s="1" t="n">
        <v>46011</v>
      </c>
      <c r="D7253" t="inlineStr">
        <is>
          <t>VÄSTRA GÖTALANDS LÄN</t>
        </is>
      </c>
      <c r="E7253" t="inlineStr">
        <is>
          <t>BENGTSFORS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55992-2025</t>
        </is>
      </c>
      <c r="B7254" s="1" t="n">
        <v>45973.55912037037</v>
      </c>
      <c r="C7254" s="1" t="n">
        <v>46011</v>
      </c>
      <c r="D7254" t="inlineStr">
        <is>
          <t>VÄSTRA GÖTALANDS LÄN</t>
        </is>
      </c>
      <c r="E7254" t="inlineStr">
        <is>
          <t>VÅRGÅRDA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56014-2025</t>
        </is>
      </c>
      <c r="B7255" s="1" t="n">
        <v>45973</v>
      </c>
      <c r="C7255" s="1" t="n">
        <v>46011</v>
      </c>
      <c r="D7255" t="inlineStr">
        <is>
          <t>VÄSTRA GÖTALANDS LÄN</t>
        </is>
      </c>
      <c r="E7255" t="inlineStr">
        <is>
          <t>MELLERUD</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11598-2023</t>
        </is>
      </c>
      <c r="B7256" s="1" t="n">
        <v>44994.38266203704</v>
      </c>
      <c r="C7256" s="1" t="n">
        <v>46011</v>
      </c>
      <c r="D7256" t="inlineStr">
        <is>
          <t>VÄSTRA GÖTALANDS LÄN</t>
        </is>
      </c>
      <c r="E7256" t="inlineStr">
        <is>
          <t>TIDAHOLM</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48937-2024</t>
        </is>
      </c>
      <c r="B7257" s="1" t="n">
        <v>45594.41428240741</v>
      </c>
      <c r="C7257" s="1" t="n">
        <v>46011</v>
      </c>
      <c r="D7257" t="inlineStr">
        <is>
          <t>VÄSTRA GÖTALANDS LÄN</t>
        </is>
      </c>
      <c r="E7257" t="inlineStr">
        <is>
          <t>SVENLJUNGA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48941-2024</t>
        </is>
      </c>
      <c r="B7258" s="1" t="n">
        <v>45594.41935185185</v>
      </c>
      <c r="C7258" s="1" t="n">
        <v>46011</v>
      </c>
      <c r="D7258" t="inlineStr">
        <is>
          <t>VÄSTRA GÖTALANDS LÄN</t>
        </is>
      </c>
      <c r="E7258" t="inlineStr">
        <is>
          <t>LERUM</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48084-2025</t>
        </is>
      </c>
      <c r="B7259" s="1" t="n">
        <v>45932</v>
      </c>
      <c r="C7259" s="1" t="n">
        <v>46011</v>
      </c>
      <c r="D7259" t="inlineStr">
        <is>
          <t>VÄSTRA GÖTALANDS LÄN</t>
        </is>
      </c>
      <c r="E7259" t="inlineStr">
        <is>
          <t>ÅMÅL</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48086-2025</t>
        </is>
      </c>
      <c r="B7260" s="1" t="n">
        <v>45932</v>
      </c>
      <c r="C7260" s="1" t="n">
        <v>46011</v>
      </c>
      <c r="D7260" t="inlineStr">
        <is>
          <t>VÄSTRA GÖTALANDS LÄN</t>
        </is>
      </c>
      <c r="E7260" t="inlineStr">
        <is>
          <t>ÅMÅL</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56326-2025</t>
        </is>
      </c>
      <c r="B7261" s="1" t="n">
        <v>45974.6370949074</v>
      </c>
      <c r="C7261" s="1" t="n">
        <v>46011</v>
      </c>
      <c r="D7261" t="inlineStr">
        <is>
          <t>VÄSTRA GÖTALANDS LÄN</t>
        </is>
      </c>
      <c r="E7261" t="inlineStr">
        <is>
          <t>VARA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25439-2022</t>
        </is>
      </c>
      <c r="B7262" s="1" t="n">
        <v>44732.48712962963</v>
      </c>
      <c r="C7262" s="1" t="n">
        <v>46011</v>
      </c>
      <c r="D7262" t="inlineStr">
        <is>
          <t>VÄSTRA GÖTALANDS LÄN</t>
        </is>
      </c>
      <c r="E7262" t="inlineStr">
        <is>
          <t>HÄRRYDA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30159-2022</t>
        </is>
      </c>
      <c r="B7263" s="1" t="n">
        <v>44757.52935185185</v>
      </c>
      <c r="C7263" s="1" t="n">
        <v>46011</v>
      </c>
      <c r="D7263" t="inlineStr">
        <is>
          <t>VÄSTRA GÖTALANDS LÄN</t>
        </is>
      </c>
      <c r="E7263" t="inlineStr">
        <is>
          <t>HERRLJUNGA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56085-2025</t>
        </is>
      </c>
      <c r="B7264" s="1" t="n">
        <v>45973.66542824074</v>
      </c>
      <c r="C7264" s="1" t="n">
        <v>46011</v>
      </c>
      <c r="D7264" t="inlineStr">
        <is>
          <t>VÄSTRA GÖTALANDS LÄN</t>
        </is>
      </c>
      <c r="E7264" t="inlineStr">
        <is>
          <t>TANUM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5002-2023</t>
        </is>
      </c>
      <c r="B7265" s="1" t="n">
        <v>44958.48936342593</v>
      </c>
      <c r="C7265" s="1" t="n">
        <v>46011</v>
      </c>
      <c r="D7265" t="inlineStr">
        <is>
          <t>VÄSTRA GÖTALANDS LÄN</t>
        </is>
      </c>
      <c r="E7265" t="inlineStr">
        <is>
          <t>HERRLJUNGA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5007-2023</t>
        </is>
      </c>
      <c r="B7266" s="1" t="n">
        <v>44958.50300925926</v>
      </c>
      <c r="C7266" s="1" t="n">
        <v>46011</v>
      </c>
      <c r="D7266" t="inlineStr">
        <is>
          <t>VÄSTRA GÖTALANDS LÄN</t>
        </is>
      </c>
      <c r="E7266" t="inlineStr">
        <is>
          <t>BENGTSFORS</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5011-2023</t>
        </is>
      </c>
      <c r="B7267" s="1" t="n">
        <v>44958</v>
      </c>
      <c r="C7267" s="1" t="n">
        <v>46011</v>
      </c>
      <c r="D7267" t="inlineStr">
        <is>
          <t>VÄSTRA GÖTALANDS LÄN</t>
        </is>
      </c>
      <c r="E7267" t="inlineStr">
        <is>
          <t>MARIESTAD</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47613-2025</t>
        </is>
      </c>
      <c r="B7268" s="1" t="n">
        <v>45931</v>
      </c>
      <c r="C7268" s="1" t="n">
        <v>46011</v>
      </c>
      <c r="D7268" t="inlineStr">
        <is>
          <t>VÄSTRA GÖTALANDS LÄN</t>
        </is>
      </c>
      <c r="E7268" t="inlineStr">
        <is>
          <t>BORÅS</t>
        </is>
      </c>
      <c r="F7268" t="inlineStr">
        <is>
          <t>Kommuner</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47630-2025</t>
        </is>
      </c>
      <c r="B7269" s="1" t="n">
        <v>45931.48855324074</v>
      </c>
      <c r="C7269" s="1" t="n">
        <v>46011</v>
      </c>
      <c r="D7269" t="inlineStr">
        <is>
          <t>VÄSTRA GÖTALANDS LÄN</t>
        </is>
      </c>
      <c r="E7269" t="inlineStr">
        <is>
          <t>ORUST</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7168-2023</t>
        </is>
      </c>
      <c r="B7270" s="1" t="n">
        <v>44965</v>
      </c>
      <c r="C7270" s="1" t="n">
        <v>46011</v>
      </c>
      <c r="D7270" t="inlineStr">
        <is>
          <t>VÄSTRA GÖTALANDS LÄN</t>
        </is>
      </c>
      <c r="E7270" t="inlineStr">
        <is>
          <t>MARIESTAD</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28903-2024</t>
        </is>
      </c>
      <c r="B7271" s="1" t="n">
        <v>45480.54913194444</v>
      </c>
      <c r="C7271" s="1" t="n">
        <v>46011</v>
      </c>
      <c r="D7271" t="inlineStr">
        <is>
          <t>VÄSTRA GÖTALANDS LÄN</t>
        </is>
      </c>
      <c r="E7271" t="inlineStr">
        <is>
          <t>LILLA EDET</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28907-2024</t>
        </is>
      </c>
      <c r="B7272" s="1" t="n">
        <v>45480.63773148148</v>
      </c>
      <c r="C7272" s="1" t="n">
        <v>46011</v>
      </c>
      <c r="D7272" t="inlineStr">
        <is>
          <t>VÄSTRA GÖTALANDS LÄN</t>
        </is>
      </c>
      <c r="E7272" t="inlineStr">
        <is>
          <t>HERRLJUNGA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55967-2025</t>
        </is>
      </c>
      <c r="B7273" s="1" t="n">
        <v>45973.48353009259</v>
      </c>
      <c r="C7273" s="1" t="n">
        <v>46011</v>
      </c>
      <c r="D7273" t="inlineStr">
        <is>
          <t>VÄSTRA GÖTALANDS LÄN</t>
        </is>
      </c>
      <c r="E7273" t="inlineStr">
        <is>
          <t>VARA</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47830-2025</t>
        </is>
      </c>
      <c r="B7274" s="1" t="n">
        <v>45931</v>
      </c>
      <c r="C7274" s="1" t="n">
        <v>46011</v>
      </c>
      <c r="D7274" t="inlineStr">
        <is>
          <t>VÄSTRA GÖTALANDS LÄN</t>
        </is>
      </c>
      <c r="E7274" t="inlineStr">
        <is>
          <t>MARK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18948-2022</t>
        </is>
      </c>
      <c r="B7275" s="1" t="n">
        <v>44690.68015046296</v>
      </c>
      <c r="C7275" s="1" t="n">
        <v>46011</v>
      </c>
      <c r="D7275" t="inlineStr">
        <is>
          <t>VÄSTRA GÖTALANDS LÄN</t>
        </is>
      </c>
      <c r="E7275" t="inlineStr">
        <is>
          <t>TÖREBODA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41784-2022</t>
        </is>
      </c>
      <c r="B7276" s="1" t="n">
        <v>44827</v>
      </c>
      <c r="C7276" s="1" t="n">
        <v>46011</v>
      </c>
      <c r="D7276" t="inlineStr">
        <is>
          <t>VÄSTRA GÖTALANDS LÄN</t>
        </is>
      </c>
      <c r="E7276" t="inlineStr">
        <is>
          <t>BENGTSFORS</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32854-2025</t>
        </is>
      </c>
      <c r="B7277" s="1" t="n">
        <v>45839</v>
      </c>
      <c r="C7277" s="1" t="n">
        <v>46011</v>
      </c>
      <c r="D7277" t="inlineStr">
        <is>
          <t>VÄSTRA GÖTALANDS LÄN</t>
        </is>
      </c>
      <c r="E7277" t="inlineStr">
        <is>
          <t>BORÅS</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47586-2025</t>
        </is>
      </c>
      <c r="B7278" s="1" t="n">
        <v>45931</v>
      </c>
      <c r="C7278" s="1" t="n">
        <v>46011</v>
      </c>
      <c r="D7278" t="inlineStr">
        <is>
          <t>VÄSTRA GÖTALANDS LÄN</t>
        </is>
      </c>
      <c r="E7278" t="inlineStr">
        <is>
          <t>BORÅS</t>
        </is>
      </c>
      <c r="F7278" t="inlineStr">
        <is>
          <t>Kommuner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4115-2023</t>
        </is>
      </c>
      <c r="B7279" s="1" t="n">
        <v>44952</v>
      </c>
      <c r="C7279" s="1" t="n">
        <v>46011</v>
      </c>
      <c r="D7279" t="inlineStr">
        <is>
          <t>VÄSTRA GÖTALANDS LÄN</t>
        </is>
      </c>
      <c r="E7279" t="inlineStr">
        <is>
          <t>DALS-ED</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56132-2025</t>
        </is>
      </c>
      <c r="B7280" s="1" t="n">
        <v>45974.30472222222</v>
      </c>
      <c r="C7280" s="1" t="n">
        <v>46011</v>
      </c>
      <c r="D7280" t="inlineStr">
        <is>
          <t>VÄSTRA GÖTALANDS LÄN</t>
        </is>
      </c>
      <c r="E7280" t="inlineStr">
        <is>
          <t>TÖREBODA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47564-2025</t>
        </is>
      </c>
      <c r="B7281" s="1" t="n">
        <v>45931.38982638889</v>
      </c>
      <c r="C7281" s="1" t="n">
        <v>46011</v>
      </c>
      <c r="D7281" t="inlineStr">
        <is>
          <t>VÄSTRA GÖTALANDS LÄN</t>
        </is>
      </c>
      <c r="E7281" t="inlineStr">
        <is>
          <t>KUNGÄLV</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47588-2025</t>
        </is>
      </c>
      <c r="B7282" s="1" t="n">
        <v>45931</v>
      </c>
      <c r="C7282" s="1" t="n">
        <v>46011</v>
      </c>
      <c r="D7282" t="inlineStr">
        <is>
          <t>VÄSTRA GÖTALANDS LÄN</t>
        </is>
      </c>
      <c r="E7282" t="inlineStr">
        <is>
          <t>BORÅS</t>
        </is>
      </c>
      <c r="F7282" t="inlineStr">
        <is>
          <t>Kommuner</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19687-2025</t>
        </is>
      </c>
      <c r="B7283" s="1" t="n">
        <v>45770</v>
      </c>
      <c r="C7283" s="1" t="n">
        <v>46011</v>
      </c>
      <c r="D7283" t="inlineStr">
        <is>
          <t>VÄSTRA GÖTALANDS LÄN</t>
        </is>
      </c>
      <c r="E7283" t="inlineStr">
        <is>
          <t>ULRICEHAMN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33976-2024</t>
        </is>
      </c>
      <c r="B7284" s="1" t="n">
        <v>45522</v>
      </c>
      <c r="C7284" s="1" t="n">
        <v>46011</v>
      </c>
      <c r="D7284" t="inlineStr">
        <is>
          <t>VÄSTRA GÖTALANDS LÄN</t>
        </is>
      </c>
      <c r="E7284" t="inlineStr">
        <is>
          <t>TANUM</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19372-2025</t>
        </is>
      </c>
      <c r="B7285" s="1" t="n">
        <v>45769.64199074074</v>
      </c>
      <c r="C7285" s="1" t="n">
        <v>46011</v>
      </c>
      <c r="D7285" t="inlineStr">
        <is>
          <t>VÄSTRA GÖTALANDS LÄN</t>
        </is>
      </c>
      <c r="E7285" t="inlineStr">
        <is>
          <t>SKÖVDE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47592-2025</t>
        </is>
      </c>
      <c r="B7286" s="1" t="n">
        <v>45931.44649305556</v>
      </c>
      <c r="C7286" s="1" t="n">
        <v>46011</v>
      </c>
      <c r="D7286" t="inlineStr">
        <is>
          <t>VÄSTRA GÖTALANDS LÄN</t>
        </is>
      </c>
      <c r="E7286" t="inlineStr">
        <is>
          <t>ALE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6387-2023</t>
        </is>
      </c>
      <c r="B7287" s="1" t="n">
        <v>44965.64119212963</v>
      </c>
      <c r="C7287" s="1" t="n">
        <v>46011</v>
      </c>
      <c r="D7287" t="inlineStr">
        <is>
          <t>VÄSTRA GÖTALANDS LÄN</t>
        </is>
      </c>
      <c r="E7287" t="inlineStr">
        <is>
          <t>MARIESTAD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13954-2024</t>
        </is>
      </c>
      <c r="B7288" s="1" t="n">
        <v>45392.32304398148</v>
      </c>
      <c r="C7288" s="1" t="n">
        <v>46011</v>
      </c>
      <c r="D7288" t="inlineStr">
        <is>
          <t>VÄSTRA GÖTALANDS LÄN</t>
        </is>
      </c>
      <c r="E7288" t="inlineStr">
        <is>
          <t>BORÅS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56111-2025</t>
        </is>
      </c>
      <c r="B7289" s="1" t="n">
        <v>45973.73554398148</v>
      </c>
      <c r="C7289" s="1" t="n">
        <v>46011</v>
      </c>
      <c r="D7289" t="inlineStr">
        <is>
          <t>VÄSTRA GÖTALANDS LÄN</t>
        </is>
      </c>
      <c r="E7289" t="inlineStr">
        <is>
          <t>TRANEMO</t>
        </is>
      </c>
      <c r="F7289" t="inlineStr">
        <is>
          <t>Kyrkan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55856-2025</t>
        </is>
      </c>
      <c r="B7290" s="1" t="n">
        <v>45973.33297453704</v>
      </c>
      <c r="C7290" s="1" t="n">
        <v>46011</v>
      </c>
      <c r="D7290" t="inlineStr">
        <is>
          <t>VÄSTRA GÖTALANDS LÄN</t>
        </is>
      </c>
      <c r="E7290" t="inlineStr">
        <is>
          <t>MARK</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35915-2025</t>
        </is>
      </c>
      <c r="B7291" s="1" t="n">
        <v>45862.55155092593</v>
      </c>
      <c r="C7291" s="1" t="n">
        <v>46011</v>
      </c>
      <c r="D7291" t="inlineStr">
        <is>
          <t>VÄSTRA GÖTALANDS LÄN</t>
        </is>
      </c>
      <c r="E7291" t="inlineStr">
        <is>
          <t>MARK</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47903-2025</t>
        </is>
      </c>
      <c r="B7292" s="1" t="n">
        <v>45932</v>
      </c>
      <c r="C7292" s="1" t="n">
        <v>46011</v>
      </c>
      <c r="D7292" t="inlineStr">
        <is>
          <t>VÄSTRA GÖTALANDS LÄN</t>
        </is>
      </c>
      <c r="E7292" t="inlineStr">
        <is>
          <t>TIBRO</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35871-2025</t>
        </is>
      </c>
      <c r="B7293" s="1" t="n">
        <v>45862.31365740741</v>
      </c>
      <c r="C7293" s="1" t="n">
        <v>46011</v>
      </c>
      <c r="D7293" t="inlineStr">
        <is>
          <t>VÄSTRA GÖTALANDS LÄN</t>
        </is>
      </c>
      <c r="E7293" t="inlineStr">
        <is>
          <t>ULRICEHAMN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47896-2024</t>
        </is>
      </c>
      <c r="B7294" s="1" t="n">
        <v>45588</v>
      </c>
      <c r="C7294" s="1" t="n">
        <v>46011</v>
      </c>
      <c r="D7294" t="inlineStr">
        <is>
          <t>VÄSTRA GÖTALANDS LÄN</t>
        </is>
      </c>
      <c r="E7294" t="inlineStr">
        <is>
          <t>UDDEVALLA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40995-2022</t>
        </is>
      </c>
      <c r="B7295" s="1" t="n">
        <v>44825.49869212963</v>
      </c>
      <c r="C7295" s="1" t="n">
        <v>46011</v>
      </c>
      <c r="D7295" t="inlineStr">
        <is>
          <t>VÄSTRA GÖTALANDS LÄN</t>
        </is>
      </c>
      <c r="E7295" t="inlineStr">
        <is>
          <t>SKÖVDE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47319-2022</t>
        </is>
      </c>
      <c r="B7296" s="1" t="n">
        <v>44853.35390046296</v>
      </c>
      <c r="C7296" s="1" t="n">
        <v>46011</v>
      </c>
      <c r="D7296" t="inlineStr">
        <is>
          <t>VÄSTRA GÖTALANDS LÄN</t>
        </is>
      </c>
      <c r="E7296" t="inlineStr">
        <is>
          <t>TÖREBODA</t>
        </is>
      </c>
      <c r="F7296" t="inlineStr">
        <is>
          <t>Sveaskog</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35315-2025</t>
        </is>
      </c>
      <c r="B7297" s="1" t="n">
        <v>45854.47040509259</v>
      </c>
      <c r="C7297" s="1" t="n">
        <v>46011</v>
      </c>
      <c r="D7297" t="inlineStr">
        <is>
          <t>VÄSTRA GÖTALANDS LÄN</t>
        </is>
      </c>
      <c r="E7297" t="inlineStr">
        <is>
          <t>TIDAHOLM</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35830-2025</t>
        </is>
      </c>
      <c r="B7298" s="1" t="n">
        <v>45861.49597222222</v>
      </c>
      <c r="C7298" s="1" t="n">
        <v>46011</v>
      </c>
      <c r="D7298" t="inlineStr">
        <is>
          <t>VÄSTRA GÖTALANDS LÄN</t>
        </is>
      </c>
      <c r="E7298" t="inlineStr">
        <is>
          <t>TRANEMO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47984-2025</t>
        </is>
      </c>
      <c r="B7299" s="1" t="n">
        <v>45932.61694444445</v>
      </c>
      <c r="C7299" s="1" t="n">
        <v>46011</v>
      </c>
      <c r="D7299" t="inlineStr">
        <is>
          <t>VÄSTRA GÖTALANDS LÄN</t>
        </is>
      </c>
      <c r="E7299" t="inlineStr">
        <is>
          <t>TANUM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56171-2025</t>
        </is>
      </c>
      <c r="B7300" s="1" t="n">
        <v>45974.39509259259</v>
      </c>
      <c r="C7300" s="1" t="n">
        <v>46011</v>
      </c>
      <c r="D7300" t="inlineStr">
        <is>
          <t>VÄSTRA GÖTALANDS LÄN</t>
        </is>
      </c>
      <c r="E7300" t="inlineStr">
        <is>
          <t>DALS-ED</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10889-2023</t>
        </is>
      </c>
      <c r="B7301" s="1" t="n">
        <v>44991.44820601852</v>
      </c>
      <c r="C7301" s="1" t="n">
        <v>46011</v>
      </c>
      <c r="D7301" t="inlineStr">
        <is>
          <t>VÄSTRA GÖTALANDS LÄN</t>
        </is>
      </c>
      <c r="E7301" t="inlineStr">
        <is>
          <t>ESSUNGA</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61053-2021</t>
        </is>
      </c>
      <c r="B7302" s="1" t="n">
        <v>44497</v>
      </c>
      <c r="C7302" s="1" t="n">
        <v>46011</v>
      </c>
      <c r="D7302" t="inlineStr">
        <is>
          <t>VÄSTRA GÖTALANDS LÄN</t>
        </is>
      </c>
      <c r="E7302" t="inlineStr">
        <is>
          <t>FALKÖPING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39917-2021</t>
        </is>
      </c>
      <c r="B7303" s="1" t="n">
        <v>44417</v>
      </c>
      <c r="C7303" s="1" t="n">
        <v>46011</v>
      </c>
      <c r="D7303" t="inlineStr">
        <is>
          <t>VÄSTRA GÖTALANDS LÄN</t>
        </is>
      </c>
      <c r="E7303" t="inlineStr">
        <is>
          <t>BENGTSFORS</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56212-2025</t>
        </is>
      </c>
      <c r="B7304" s="1" t="n">
        <v>45974.47877314815</v>
      </c>
      <c r="C7304" s="1" t="n">
        <v>46011</v>
      </c>
      <c r="D7304" t="inlineStr">
        <is>
          <t>VÄSTRA GÖTALANDS LÄN</t>
        </is>
      </c>
      <c r="E7304" t="inlineStr">
        <is>
          <t>FALKÖPING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56215-2025</t>
        </is>
      </c>
      <c r="B7305" s="1" t="n">
        <v>45974.48194444444</v>
      </c>
      <c r="C7305" s="1" t="n">
        <v>46011</v>
      </c>
      <c r="D7305" t="inlineStr">
        <is>
          <t>VÄSTRA GÖTALANDS LÄN</t>
        </is>
      </c>
      <c r="E7305" t="inlineStr">
        <is>
          <t>FALKÖPING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56274-2025</t>
        </is>
      </c>
      <c r="B7306" s="1" t="n">
        <v>45974.58690972222</v>
      </c>
      <c r="C7306" s="1" t="n">
        <v>46011</v>
      </c>
      <c r="D7306" t="inlineStr">
        <is>
          <t>VÄSTRA GÖTALANDS LÄN</t>
        </is>
      </c>
      <c r="E7306" t="inlineStr">
        <is>
          <t>SKARA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35815-2025</t>
        </is>
      </c>
      <c r="B7307" s="1" t="n">
        <v>45861.4362962963</v>
      </c>
      <c r="C7307" s="1" t="n">
        <v>46011</v>
      </c>
      <c r="D7307" t="inlineStr">
        <is>
          <t>VÄSTRA GÖTALANDS LÄN</t>
        </is>
      </c>
      <c r="E7307" t="inlineStr">
        <is>
          <t>BENGTSFORS</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35872-2025</t>
        </is>
      </c>
      <c r="B7308" s="1" t="n">
        <v>45862.33578703704</v>
      </c>
      <c r="C7308" s="1" t="n">
        <v>46011</v>
      </c>
      <c r="D7308" t="inlineStr">
        <is>
          <t>VÄSTRA GÖTALANDS LÄN</t>
        </is>
      </c>
      <c r="E7308" t="inlineStr">
        <is>
          <t>ULRICEHAMN</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57615-2022</t>
        </is>
      </c>
      <c r="B7309" s="1" t="n">
        <v>44897</v>
      </c>
      <c r="C7309" s="1" t="n">
        <v>46011</v>
      </c>
      <c r="D7309" t="inlineStr">
        <is>
          <t>VÄSTRA GÖTALANDS LÄN</t>
        </is>
      </c>
      <c r="E7309" t="inlineStr">
        <is>
          <t>SVENLJUNGA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60483-2022</t>
        </is>
      </c>
      <c r="B7310" s="1" t="n">
        <v>44911.4247800926</v>
      </c>
      <c r="C7310" s="1" t="n">
        <v>46011</v>
      </c>
      <c r="D7310" t="inlineStr">
        <is>
          <t>VÄSTRA GÖTALANDS LÄN</t>
        </is>
      </c>
      <c r="E7310" t="inlineStr">
        <is>
          <t>VARA</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1635-2025</t>
        </is>
      </c>
      <c r="B7311" s="1" t="n">
        <v>45670</v>
      </c>
      <c r="C7311" s="1" t="n">
        <v>46011</v>
      </c>
      <c r="D7311" t="inlineStr">
        <is>
          <t>VÄSTRA GÖTALANDS LÄN</t>
        </is>
      </c>
      <c r="E7311" t="inlineStr">
        <is>
          <t>HJO</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47599-2025</t>
        </is>
      </c>
      <c r="B7312" s="1" t="n">
        <v>45931.45528935185</v>
      </c>
      <c r="C7312" s="1" t="n">
        <v>46011</v>
      </c>
      <c r="D7312" t="inlineStr">
        <is>
          <t>VÄSTRA GÖTALANDS LÄN</t>
        </is>
      </c>
      <c r="E7312" t="inlineStr">
        <is>
          <t>LERUM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47603-2025</t>
        </is>
      </c>
      <c r="B7313" s="1" t="n">
        <v>45931.46130787037</v>
      </c>
      <c r="C7313" s="1" t="n">
        <v>46011</v>
      </c>
      <c r="D7313" t="inlineStr">
        <is>
          <t>VÄSTRA GÖTALANDS LÄN</t>
        </is>
      </c>
      <c r="E7313" t="inlineStr">
        <is>
          <t>UDDEVALLA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35947-2025</t>
        </is>
      </c>
      <c r="B7314" s="1" t="n">
        <v>45862.73864583333</v>
      </c>
      <c r="C7314" s="1" t="n">
        <v>46011</v>
      </c>
      <c r="D7314" t="inlineStr">
        <is>
          <t>VÄSTRA GÖTALANDS LÄN</t>
        </is>
      </c>
      <c r="E7314" t="inlineStr">
        <is>
          <t>GÖTENE</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35895-2025</t>
        </is>
      </c>
      <c r="B7315" s="1" t="n">
        <v>45862.48412037037</v>
      </c>
      <c r="C7315" s="1" t="n">
        <v>46011</v>
      </c>
      <c r="D7315" t="inlineStr">
        <is>
          <t>VÄSTRA GÖTALANDS LÄN</t>
        </is>
      </c>
      <c r="E7315" t="inlineStr">
        <is>
          <t>ULRICEHAMN</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13655-2023</t>
        </is>
      </c>
      <c r="B7316" s="1" t="n">
        <v>45006</v>
      </c>
      <c r="C7316" s="1" t="n">
        <v>46011</v>
      </c>
      <c r="D7316" t="inlineStr">
        <is>
          <t>VÄSTRA GÖTALANDS LÄN</t>
        </is>
      </c>
      <c r="E7316" t="inlineStr">
        <is>
          <t>MARIESTAD</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58704-2021</t>
        </is>
      </c>
      <c r="B7317" s="1" t="n">
        <v>44489</v>
      </c>
      <c r="C7317" s="1" t="n">
        <v>46011</v>
      </c>
      <c r="D7317" t="inlineStr">
        <is>
          <t>VÄSTRA GÖTALANDS LÄN</t>
        </is>
      </c>
      <c r="E7317" t="inlineStr">
        <is>
          <t>VÄNERSBORG</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56347-2025</t>
        </is>
      </c>
      <c r="B7318" s="1" t="n">
        <v>45974.65054398148</v>
      </c>
      <c r="C7318" s="1" t="n">
        <v>46011</v>
      </c>
      <c r="D7318" t="inlineStr">
        <is>
          <t>VÄSTRA GÖTALANDS LÄN</t>
        </is>
      </c>
      <c r="E7318" t="inlineStr">
        <is>
          <t>GÖTENE</t>
        </is>
      </c>
      <c r="G7318" t="n">
        <v>10.9</v>
      </c>
      <c r="H7318" t="n">
        <v>0</v>
      </c>
      <c r="I7318" t="n">
        <v>0</v>
      </c>
      <c r="J7318" t="n">
        <v>0</v>
      </c>
      <c r="K7318" t="n">
        <v>0</v>
      </c>
      <c r="L7318" t="n">
        <v>0</v>
      </c>
      <c r="M7318" t="n">
        <v>0</v>
      </c>
      <c r="N7318" t="n">
        <v>0</v>
      </c>
      <c r="O7318" t="n">
        <v>0</v>
      </c>
      <c r="P7318" t="n">
        <v>0</v>
      </c>
      <c r="Q7318" t="n">
        <v>0</v>
      </c>
      <c r="R7318" s="2" t="inlineStr"/>
    </row>
    <row r="7319" ht="15" customHeight="1">
      <c r="A7319" t="inlineStr">
        <is>
          <t>A 56352-2025</t>
        </is>
      </c>
      <c r="B7319" s="1" t="n">
        <v>45974.65353009259</v>
      </c>
      <c r="C7319" s="1" t="n">
        <v>46011</v>
      </c>
      <c r="D7319" t="inlineStr">
        <is>
          <t>VÄSTRA GÖTALANDS LÄN</t>
        </is>
      </c>
      <c r="E7319" t="inlineStr">
        <is>
          <t>GÖTENE</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56354-2025</t>
        </is>
      </c>
      <c r="B7320" s="1" t="n">
        <v>45974.65717592592</v>
      </c>
      <c r="C7320" s="1" t="n">
        <v>46011</v>
      </c>
      <c r="D7320" t="inlineStr">
        <is>
          <t>VÄSTRA GÖTALANDS LÄN</t>
        </is>
      </c>
      <c r="E7320" t="inlineStr">
        <is>
          <t>ULRICEHAMN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10457-2023</t>
        </is>
      </c>
      <c r="B7321" s="1" t="n">
        <v>44987</v>
      </c>
      <c r="C7321" s="1" t="n">
        <v>46011</v>
      </c>
      <c r="D7321" t="inlineStr">
        <is>
          <t>VÄSTRA GÖTALANDS LÄN</t>
        </is>
      </c>
      <c r="E7321" t="inlineStr">
        <is>
          <t>STRÖMSTAD</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18529-2023</t>
        </is>
      </c>
      <c r="B7322" s="1" t="n">
        <v>45042.70158564814</v>
      </c>
      <c r="C7322" s="1" t="n">
        <v>46011</v>
      </c>
      <c r="D7322" t="inlineStr">
        <is>
          <t>VÄSTRA GÖTALANDS LÄN</t>
        </is>
      </c>
      <c r="E7322" t="inlineStr">
        <is>
          <t>ÅMÅL</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56340-2025</t>
        </is>
      </c>
      <c r="B7323" s="1" t="n">
        <v>45974.64655092593</v>
      </c>
      <c r="C7323" s="1" t="n">
        <v>46011</v>
      </c>
      <c r="D7323" t="inlineStr">
        <is>
          <t>VÄSTRA GÖTALANDS LÄN</t>
        </is>
      </c>
      <c r="E7323" t="inlineStr">
        <is>
          <t>GÖTENE</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56360-2025</t>
        </is>
      </c>
      <c r="B7324" s="1" t="n">
        <v>45974.66358796296</v>
      </c>
      <c r="C7324" s="1" t="n">
        <v>46011</v>
      </c>
      <c r="D7324" t="inlineStr">
        <is>
          <t>VÄSTRA GÖTALANDS LÄN</t>
        </is>
      </c>
      <c r="E7324" t="inlineStr">
        <is>
          <t>ULRICEHAMN</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56365-2025</t>
        </is>
      </c>
      <c r="B7325" s="1" t="n">
        <v>45974.67329861111</v>
      </c>
      <c r="C7325" s="1" t="n">
        <v>46011</v>
      </c>
      <c r="D7325" t="inlineStr">
        <is>
          <t>VÄSTRA GÖTALANDS LÄN</t>
        </is>
      </c>
      <c r="E7325" t="inlineStr">
        <is>
          <t>GÖTENE</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56379-2025</t>
        </is>
      </c>
      <c r="B7326" s="1" t="n">
        <v>45974.70221064815</v>
      </c>
      <c r="C7326" s="1" t="n">
        <v>46011</v>
      </c>
      <c r="D7326" t="inlineStr">
        <is>
          <t>VÄSTRA GÖTALANDS LÄN</t>
        </is>
      </c>
      <c r="E7326" t="inlineStr">
        <is>
          <t>VÅRGÅRDA</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56396-2025</t>
        </is>
      </c>
      <c r="B7327" s="1" t="n">
        <v>45974.75811342592</v>
      </c>
      <c r="C7327" s="1" t="n">
        <v>46011</v>
      </c>
      <c r="D7327" t="inlineStr">
        <is>
          <t>VÄSTRA GÖTALANDS LÄN</t>
        </is>
      </c>
      <c r="E7327" t="inlineStr">
        <is>
          <t>HERRLJUNGA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56350-2025</t>
        </is>
      </c>
      <c r="B7328" s="1" t="n">
        <v>45974.65203703703</v>
      </c>
      <c r="C7328" s="1" t="n">
        <v>46011</v>
      </c>
      <c r="D7328" t="inlineStr">
        <is>
          <t>VÄSTRA GÖTALANDS LÄN</t>
        </is>
      </c>
      <c r="E7328" t="inlineStr">
        <is>
          <t>GÖTENE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56351-2025</t>
        </is>
      </c>
      <c r="B7329" s="1" t="n">
        <v>45974.65268518519</v>
      </c>
      <c r="C7329" s="1" t="n">
        <v>46011</v>
      </c>
      <c r="D7329" t="inlineStr">
        <is>
          <t>VÄSTRA GÖTALANDS LÄN</t>
        </is>
      </c>
      <c r="E7329" t="inlineStr">
        <is>
          <t>FALKÖPING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56367-2025</t>
        </is>
      </c>
      <c r="B7330" s="1" t="n">
        <v>45974.67436342593</v>
      </c>
      <c r="C7330" s="1" t="n">
        <v>46011</v>
      </c>
      <c r="D7330" t="inlineStr">
        <is>
          <t>VÄSTRA GÖTALANDS LÄN</t>
        </is>
      </c>
      <c r="E7330" t="inlineStr">
        <is>
          <t>GÖTENE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56394-2025</t>
        </is>
      </c>
      <c r="B7331" s="1" t="n">
        <v>45974.74313657408</v>
      </c>
      <c r="C7331" s="1" t="n">
        <v>46011</v>
      </c>
      <c r="D7331" t="inlineStr">
        <is>
          <t>VÄSTRA GÖTALANDS LÄN</t>
        </is>
      </c>
      <c r="E7331" t="inlineStr">
        <is>
          <t>KUNGÄLV</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14222-2024</t>
        </is>
      </c>
      <c r="B7332" s="1" t="n">
        <v>45393.46065972222</v>
      </c>
      <c r="C7332" s="1" t="n">
        <v>46011</v>
      </c>
      <c r="D7332" t="inlineStr">
        <is>
          <t>VÄSTRA GÖTALANDS LÄN</t>
        </is>
      </c>
      <c r="E7332" t="inlineStr">
        <is>
          <t>BORÅS</t>
        </is>
      </c>
      <c r="F7332" t="inlineStr">
        <is>
          <t>Sveaskog</t>
        </is>
      </c>
      <c r="G7332" t="n">
        <v>20.3</v>
      </c>
      <c r="H7332" t="n">
        <v>0</v>
      </c>
      <c r="I7332" t="n">
        <v>0</v>
      </c>
      <c r="J7332" t="n">
        <v>0</v>
      </c>
      <c r="K7332" t="n">
        <v>0</v>
      </c>
      <c r="L7332" t="n">
        <v>0</v>
      </c>
      <c r="M7332" t="n">
        <v>0</v>
      </c>
      <c r="N7332" t="n">
        <v>0</v>
      </c>
      <c r="O7332" t="n">
        <v>0</v>
      </c>
      <c r="P7332" t="n">
        <v>0</v>
      </c>
      <c r="Q7332" t="n">
        <v>0</v>
      </c>
      <c r="R7332" s="2" t="inlineStr"/>
    </row>
    <row r="7333" ht="15" customHeight="1">
      <c r="A7333" t="inlineStr">
        <is>
          <t>A 35795-2025</t>
        </is>
      </c>
      <c r="B7333" s="1" t="n">
        <v>45861.36568287037</v>
      </c>
      <c r="C7333" s="1" t="n">
        <v>46011</v>
      </c>
      <c r="D7333" t="inlineStr">
        <is>
          <t>VÄSTRA GÖTALANDS LÄN</t>
        </is>
      </c>
      <c r="E7333" t="inlineStr">
        <is>
          <t>TIDAHOLM</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35793-2025</t>
        </is>
      </c>
      <c r="B7334" s="1" t="n">
        <v>45861.36361111111</v>
      </c>
      <c r="C7334" s="1" t="n">
        <v>46011</v>
      </c>
      <c r="D7334" t="inlineStr">
        <is>
          <t>VÄSTRA GÖTALANDS LÄN</t>
        </is>
      </c>
      <c r="E7334" t="inlineStr">
        <is>
          <t>TIDAHOLM</t>
        </is>
      </c>
      <c r="F7334" t="inlineStr">
        <is>
          <t>Sveaskog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35903-2025</t>
        </is>
      </c>
      <c r="B7335" s="1" t="n">
        <v>45862.49201388889</v>
      </c>
      <c r="C7335" s="1" t="n">
        <v>46011</v>
      </c>
      <c r="D7335" t="inlineStr">
        <is>
          <t>VÄSTRA GÖTALANDS LÄN</t>
        </is>
      </c>
      <c r="E7335" t="inlineStr">
        <is>
          <t>MARK</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17150-2023</t>
        </is>
      </c>
      <c r="B7336" s="1" t="n">
        <v>45034</v>
      </c>
      <c r="C7336" s="1" t="n">
        <v>46011</v>
      </c>
      <c r="D7336" t="inlineStr">
        <is>
          <t>VÄSTRA GÖTALANDS LÄN</t>
        </is>
      </c>
      <c r="E7336" t="inlineStr">
        <is>
          <t>TIBRO</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35929-2025</t>
        </is>
      </c>
      <c r="B7337" s="1" t="n">
        <v>45862.61262731482</v>
      </c>
      <c r="C7337" s="1" t="n">
        <v>46011</v>
      </c>
      <c r="D7337" t="inlineStr">
        <is>
          <t>VÄSTRA GÖTALANDS LÄN</t>
        </is>
      </c>
      <c r="E7337" t="inlineStr">
        <is>
          <t>KARLSBORG</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35857-2025</t>
        </is>
      </c>
      <c r="B7338" s="1" t="n">
        <v>45861.62144675926</v>
      </c>
      <c r="C7338" s="1" t="n">
        <v>46011</v>
      </c>
      <c r="D7338" t="inlineStr">
        <is>
          <t>VÄSTRA GÖTALANDS LÄN</t>
        </is>
      </c>
      <c r="E7338" t="inlineStr">
        <is>
          <t>ULRICEHAMN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48083-2025</t>
        </is>
      </c>
      <c r="B7339" s="1" t="n">
        <v>45932</v>
      </c>
      <c r="C7339" s="1" t="n">
        <v>46011</v>
      </c>
      <c r="D7339" t="inlineStr">
        <is>
          <t>VÄSTRA GÖTALANDS LÄN</t>
        </is>
      </c>
      <c r="E7339" t="inlineStr">
        <is>
          <t>BENGTSFORS</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56190-2025</t>
        </is>
      </c>
      <c r="B7340" s="1" t="n">
        <v>45974.43372685185</v>
      </c>
      <c r="C7340" s="1" t="n">
        <v>46011</v>
      </c>
      <c r="D7340" t="inlineStr">
        <is>
          <t>VÄSTRA GÖTALANDS LÄN</t>
        </is>
      </c>
      <c r="E7340" t="inlineStr">
        <is>
          <t>TANUM</t>
        </is>
      </c>
      <c r="F7340" t="inlineStr">
        <is>
          <t>Kyrkan</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65763-2021</t>
        </is>
      </c>
      <c r="B7341" s="1" t="n">
        <v>44516</v>
      </c>
      <c r="C7341" s="1" t="n">
        <v>46011</v>
      </c>
      <c r="D7341" t="inlineStr">
        <is>
          <t>VÄSTRA GÖTALANDS LÄN</t>
        </is>
      </c>
      <c r="E7341" t="inlineStr">
        <is>
          <t>BENGTSFORS</t>
        </is>
      </c>
      <c r="G7341" t="n">
        <v>8.6</v>
      </c>
      <c r="H7341" t="n">
        <v>0</v>
      </c>
      <c r="I7341" t="n">
        <v>0</v>
      </c>
      <c r="J7341" t="n">
        <v>0</v>
      </c>
      <c r="K7341" t="n">
        <v>0</v>
      </c>
      <c r="L7341" t="n">
        <v>0</v>
      </c>
      <c r="M7341" t="n">
        <v>0</v>
      </c>
      <c r="N7341" t="n">
        <v>0</v>
      </c>
      <c r="O7341" t="n">
        <v>0</v>
      </c>
      <c r="P7341" t="n">
        <v>0</v>
      </c>
      <c r="Q7341" t="n">
        <v>0</v>
      </c>
      <c r="R7341" s="2" t="inlineStr"/>
    </row>
    <row r="7342" ht="15" customHeight="1">
      <c r="A7342" t="inlineStr">
        <is>
          <t>A 72046-2021</t>
        </is>
      </c>
      <c r="B7342" s="1" t="n">
        <v>44544.4646412037</v>
      </c>
      <c r="C7342" s="1" t="n">
        <v>46011</v>
      </c>
      <c r="D7342" t="inlineStr">
        <is>
          <t>VÄSTRA GÖTALANDS LÄN</t>
        </is>
      </c>
      <c r="E7342" t="inlineStr">
        <is>
          <t>BENGTSFORS</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35893-2025</t>
        </is>
      </c>
      <c r="B7343" s="1" t="n">
        <v>45862.48081018519</v>
      </c>
      <c r="C7343" s="1" t="n">
        <v>46011</v>
      </c>
      <c r="D7343" t="inlineStr">
        <is>
          <t>VÄSTRA GÖTALANDS LÄN</t>
        </is>
      </c>
      <c r="E7343" t="inlineStr">
        <is>
          <t>ULRICEHAMN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35435-2023</t>
        </is>
      </c>
      <c r="B7344" s="1" t="n">
        <v>45146.63164351852</v>
      </c>
      <c r="C7344" s="1" t="n">
        <v>46011</v>
      </c>
      <c r="D7344" t="inlineStr">
        <is>
          <t>VÄSTRA GÖTALANDS LÄN</t>
        </is>
      </c>
      <c r="E7344" t="inlineStr">
        <is>
          <t>GULLSPÅNG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20584-2023</t>
        </is>
      </c>
      <c r="B7345" s="1" t="n">
        <v>45057</v>
      </c>
      <c r="C7345" s="1" t="n">
        <v>46011</v>
      </c>
      <c r="D7345" t="inlineStr">
        <is>
          <t>VÄSTRA GÖTALANDS LÄN</t>
        </is>
      </c>
      <c r="E7345" t="inlineStr">
        <is>
          <t>VÄNERSBORG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56243-2025</t>
        </is>
      </c>
      <c r="B7346" s="1" t="n">
        <v>45974.54982638889</v>
      </c>
      <c r="C7346" s="1" t="n">
        <v>46011</v>
      </c>
      <c r="D7346" t="inlineStr">
        <is>
          <t>VÄSTRA GÖTALANDS LÄN</t>
        </is>
      </c>
      <c r="E7346" t="inlineStr">
        <is>
          <t>BENGTSFORS</t>
        </is>
      </c>
      <c r="F7346" t="inlineStr">
        <is>
          <t>Övriga Aktiebolag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47723-2025</t>
        </is>
      </c>
      <c r="B7347" s="1" t="n">
        <v>45931.62960648148</v>
      </c>
      <c r="C7347" s="1" t="n">
        <v>46011</v>
      </c>
      <c r="D7347" t="inlineStr">
        <is>
          <t>VÄSTRA GÖTALANDS LÄN</t>
        </is>
      </c>
      <c r="E7347" t="inlineStr">
        <is>
          <t>BOLLEBYGD</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35930-2025</t>
        </is>
      </c>
      <c r="B7348" s="1" t="n">
        <v>45862</v>
      </c>
      <c r="C7348" s="1" t="n">
        <v>46011</v>
      </c>
      <c r="D7348" t="inlineStr">
        <is>
          <t>VÄSTRA GÖTALANDS LÄN</t>
        </is>
      </c>
      <c r="E7348" t="inlineStr">
        <is>
          <t>KARLSBORG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20724-2023</t>
        </is>
      </c>
      <c r="B7349" s="1" t="n">
        <v>45058.47872685185</v>
      </c>
      <c r="C7349" s="1" t="n">
        <v>46011</v>
      </c>
      <c r="D7349" t="inlineStr">
        <is>
          <t>VÄSTRA GÖTALANDS LÄN</t>
        </is>
      </c>
      <c r="E7349" t="inlineStr">
        <is>
          <t>BORÅS</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47750-2025</t>
        </is>
      </c>
      <c r="B7350" s="1" t="n">
        <v>45931.66099537037</v>
      </c>
      <c r="C7350" s="1" t="n">
        <v>46011</v>
      </c>
      <c r="D7350" t="inlineStr">
        <is>
          <t>VÄSTRA GÖTALANDS LÄN</t>
        </is>
      </c>
      <c r="E7350" t="inlineStr">
        <is>
          <t>HERRLJUNGA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53063-2024</t>
        </is>
      </c>
      <c r="B7351" s="1" t="n">
        <v>45611.4719212963</v>
      </c>
      <c r="C7351" s="1" t="n">
        <v>46011</v>
      </c>
      <c r="D7351" t="inlineStr">
        <is>
          <t>VÄSTRA GÖTALANDS LÄN</t>
        </is>
      </c>
      <c r="E7351" t="inlineStr">
        <is>
          <t>BORÅS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7705-2023</t>
        </is>
      </c>
      <c r="B7352" s="1" t="n">
        <v>44969</v>
      </c>
      <c r="C7352" s="1" t="n">
        <v>46011</v>
      </c>
      <c r="D7352" t="inlineStr">
        <is>
          <t>VÄSTRA GÖTALANDS LÄN</t>
        </is>
      </c>
      <c r="E7352" t="inlineStr">
        <is>
          <t>TANUM</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56103-2025</t>
        </is>
      </c>
      <c r="B7353" s="1" t="n">
        <v>45973.72755787037</v>
      </c>
      <c r="C7353" s="1" t="n">
        <v>46011</v>
      </c>
      <c r="D7353" t="inlineStr">
        <is>
          <t>VÄSTRA GÖTALANDS LÄN</t>
        </is>
      </c>
      <c r="E7353" t="inlineStr">
        <is>
          <t>TRANEMO</t>
        </is>
      </c>
      <c r="F7353" t="inlineStr">
        <is>
          <t>Kyrkan</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7749-2023</t>
        </is>
      </c>
      <c r="B7354" s="1" t="n">
        <v>44973</v>
      </c>
      <c r="C7354" s="1" t="n">
        <v>46011</v>
      </c>
      <c r="D7354" t="inlineStr">
        <is>
          <t>VÄSTRA GÖTALANDS LÄN</t>
        </is>
      </c>
      <c r="E7354" t="inlineStr">
        <is>
          <t>TIDAHOLM</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47516-2025</t>
        </is>
      </c>
      <c r="B7355" s="1" t="n">
        <v>45931.26936342593</v>
      </c>
      <c r="C7355" s="1" t="n">
        <v>46011</v>
      </c>
      <c r="D7355" t="inlineStr">
        <is>
          <t>VÄSTRA GÖTALANDS LÄN</t>
        </is>
      </c>
      <c r="E7355" t="inlineStr">
        <is>
          <t>GULLSPÅNG</t>
        </is>
      </c>
      <c r="F7355" t="inlineStr">
        <is>
          <t>Kyrkan</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23447-2023</t>
        </is>
      </c>
      <c r="B7356" s="1" t="n">
        <v>45076.59756944444</v>
      </c>
      <c r="C7356" s="1" t="n">
        <v>46011</v>
      </c>
      <c r="D7356" t="inlineStr">
        <is>
          <t>VÄSTRA GÖTALANDS LÄN</t>
        </is>
      </c>
      <c r="E7356" t="inlineStr">
        <is>
          <t>SKÖVDE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23451-2023</t>
        </is>
      </c>
      <c r="B7357" s="1" t="n">
        <v>45076</v>
      </c>
      <c r="C7357" s="1" t="n">
        <v>46011</v>
      </c>
      <c r="D7357" t="inlineStr">
        <is>
          <t>VÄSTRA GÖTALANDS LÄN</t>
        </is>
      </c>
      <c r="E7357" t="inlineStr">
        <is>
          <t>TROLLHÄTTAN</t>
        </is>
      </c>
      <c r="F7357" t="inlineStr">
        <is>
          <t>Kommuner</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23497-2023</t>
        </is>
      </c>
      <c r="B7358" s="1" t="n">
        <v>45072</v>
      </c>
      <c r="C7358" s="1" t="n">
        <v>46011</v>
      </c>
      <c r="D7358" t="inlineStr">
        <is>
          <t>VÄSTRA GÖTALANDS LÄN</t>
        </is>
      </c>
      <c r="E7358" t="inlineStr">
        <is>
          <t>LILLA EDET</t>
        </is>
      </c>
      <c r="F7358" t="inlineStr">
        <is>
          <t>Kyrkan</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15404-2023</t>
        </is>
      </c>
      <c r="B7359" s="1" t="n">
        <v>45019</v>
      </c>
      <c r="C7359" s="1" t="n">
        <v>46011</v>
      </c>
      <c r="D7359" t="inlineStr">
        <is>
          <t>VÄSTRA GÖTALANDS LÄN</t>
        </is>
      </c>
      <c r="E7359" t="inlineStr">
        <is>
          <t>SKÖVDE</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2570-2025</t>
        </is>
      </c>
      <c r="B7360" s="1" t="n">
        <v>45674.66657407407</v>
      </c>
      <c r="C7360" s="1" t="n">
        <v>46011</v>
      </c>
      <c r="D7360" t="inlineStr">
        <is>
          <t>VÄSTRA GÖTALANDS LÄN</t>
        </is>
      </c>
      <c r="E7360" t="inlineStr">
        <is>
          <t>BORÅS</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8639-2023</t>
        </is>
      </c>
      <c r="B7361" s="1" t="n">
        <v>44977.95614583333</v>
      </c>
      <c r="C7361" s="1" t="n">
        <v>46011</v>
      </c>
      <c r="D7361" t="inlineStr">
        <is>
          <t>VÄSTRA GÖTALANDS LÄN</t>
        </is>
      </c>
      <c r="E7361" t="inlineStr">
        <is>
          <t>MÖLNDAL</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36113-2025</t>
        </is>
      </c>
      <c r="B7362" s="1" t="n">
        <v>45866.57512731481</v>
      </c>
      <c r="C7362" s="1" t="n">
        <v>46011</v>
      </c>
      <c r="D7362" t="inlineStr">
        <is>
          <t>VÄSTRA GÖTALANDS LÄN</t>
        </is>
      </c>
      <c r="E7362" t="inlineStr">
        <is>
          <t>BORÅS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36128-2025</t>
        </is>
      </c>
      <c r="B7363" s="1" t="n">
        <v>45866</v>
      </c>
      <c r="C7363" s="1" t="n">
        <v>46011</v>
      </c>
      <c r="D7363" t="inlineStr">
        <is>
          <t>VÄSTRA GÖTALANDS LÄN</t>
        </is>
      </c>
      <c r="E7363" t="inlineStr">
        <is>
          <t>BORÅS</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60158-2024</t>
        </is>
      </c>
      <c r="B7364" s="1" t="n">
        <v>45642.62672453704</v>
      </c>
      <c r="C7364" s="1" t="n">
        <v>46011</v>
      </c>
      <c r="D7364" t="inlineStr">
        <is>
          <t>VÄSTRA GÖTALANDS LÄN</t>
        </is>
      </c>
      <c r="E7364" t="inlineStr">
        <is>
          <t>STENUNGSUND</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23806-2024</t>
        </is>
      </c>
      <c r="B7365" s="1" t="n">
        <v>45455.44231481481</v>
      </c>
      <c r="C7365" s="1" t="n">
        <v>46011</v>
      </c>
      <c r="D7365" t="inlineStr">
        <is>
          <t>VÄSTRA GÖTALANDS LÄN</t>
        </is>
      </c>
      <c r="E7365" t="inlineStr">
        <is>
          <t>UDDEVALLA</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31426-2021</t>
        </is>
      </c>
      <c r="B7366" s="1" t="n">
        <v>44369</v>
      </c>
      <c r="C7366" s="1" t="n">
        <v>46011</v>
      </c>
      <c r="D7366" t="inlineStr">
        <is>
          <t>VÄSTRA GÖTALANDS LÄN</t>
        </is>
      </c>
      <c r="E7366" t="inlineStr">
        <is>
          <t>BENGTSFORS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60230-2024</t>
        </is>
      </c>
      <c r="B7367" s="1" t="n">
        <v>45640</v>
      </c>
      <c r="C7367" s="1" t="n">
        <v>46011</v>
      </c>
      <c r="D7367" t="inlineStr">
        <is>
          <t>VÄSTRA GÖTALANDS LÄN</t>
        </is>
      </c>
      <c r="E7367" t="inlineStr">
        <is>
          <t>MUNKEDAL</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56637-2024</t>
        </is>
      </c>
      <c r="B7368" s="1" t="n">
        <v>45625.69395833334</v>
      </c>
      <c r="C7368" s="1" t="n">
        <v>46011</v>
      </c>
      <c r="D7368" t="inlineStr">
        <is>
          <t>VÄSTRA GÖTALANDS LÄN</t>
        </is>
      </c>
      <c r="E7368" t="inlineStr">
        <is>
          <t>VÅRGÅRDA</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56101-2025</t>
        </is>
      </c>
      <c r="B7369" s="1" t="n">
        <v>45973.71033564815</v>
      </c>
      <c r="C7369" s="1" t="n">
        <v>46011</v>
      </c>
      <c r="D7369" t="inlineStr">
        <is>
          <t>VÄSTRA GÖTALANDS LÄN</t>
        </is>
      </c>
      <c r="E7369" t="inlineStr">
        <is>
          <t>TIBRO</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60236-2024</t>
        </is>
      </c>
      <c r="B7370" s="1" t="n">
        <v>45642.76790509259</v>
      </c>
      <c r="C7370" s="1" t="n">
        <v>46011</v>
      </c>
      <c r="D7370" t="inlineStr">
        <is>
          <t>VÄSTRA GÖTALANDS LÄN</t>
        </is>
      </c>
      <c r="E7370" t="inlineStr">
        <is>
          <t>GRÄSTORP</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60318-2024</t>
        </is>
      </c>
      <c r="B7371" s="1" t="n">
        <v>45643.36900462963</v>
      </c>
      <c r="C7371" s="1" t="n">
        <v>46011</v>
      </c>
      <c r="D7371" t="inlineStr">
        <is>
          <t>VÄSTRA GÖTALANDS LÄN</t>
        </is>
      </c>
      <c r="E7371" t="inlineStr">
        <is>
          <t>HJO</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56282-2025</t>
        </is>
      </c>
      <c r="B7372" s="1" t="n">
        <v>45974.59179398148</v>
      </c>
      <c r="C7372" s="1" t="n">
        <v>46011</v>
      </c>
      <c r="D7372" t="inlineStr">
        <is>
          <t>VÄSTRA GÖTALANDS LÄN</t>
        </is>
      </c>
      <c r="E7372" t="inlineStr">
        <is>
          <t>DALS-ED</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17260-2024</t>
        </is>
      </c>
      <c r="B7373" s="1" t="n">
        <v>45414</v>
      </c>
      <c r="C7373" s="1" t="n">
        <v>46011</v>
      </c>
      <c r="D7373" t="inlineStr">
        <is>
          <t>VÄSTRA GÖTALANDS LÄN</t>
        </is>
      </c>
      <c r="E7373" t="inlineStr">
        <is>
          <t>FALKÖPING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35999-2025</t>
        </is>
      </c>
      <c r="B7374" s="1" t="n">
        <v>45863.51740740741</v>
      </c>
      <c r="C7374" s="1" t="n">
        <v>46011</v>
      </c>
      <c r="D7374" t="inlineStr">
        <is>
          <t>VÄSTRA GÖTALANDS LÄN</t>
        </is>
      </c>
      <c r="E7374" t="inlineStr">
        <is>
          <t>MUNKEDAL</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56208-2025</t>
        </is>
      </c>
      <c r="B7375" s="1" t="n">
        <v>45974.47333333334</v>
      </c>
      <c r="C7375" s="1" t="n">
        <v>46011</v>
      </c>
      <c r="D7375" t="inlineStr">
        <is>
          <t>VÄSTRA GÖTALANDS LÄN</t>
        </is>
      </c>
      <c r="E7375" t="inlineStr">
        <is>
          <t>STRÖMSTAD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56211-2025</t>
        </is>
      </c>
      <c r="B7376" s="1" t="n">
        <v>45974.47729166667</v>
      </c>
      <c r="C7376" s="1" t="n">
        <v>46011</v>
      </c>
      <c r="D7376" t="inlineStr">
        <is>
          <t>VÄSTRA GÖTALANDS LÄN</t>
        </is>
      </c>
      <c r="E7376" t="inlineStr">
        <is>
          <t>STRÖMSTAD</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36101-2025</t>
        </is>
      </c>
      <c r="B7377" s="1" t="n">
        <v>45866.53873842592</v>
      </c>
      <c r="C7377" s="1" t="n">
        <v>46011</v>
      </c>
      <c r="D7377" t="inlineStr">
        <is>
          <t>VÄSTRA GÖTALANDS LÄN</t>
        </is>
      </c>
      <c r="E7377" t="inlineStr">
        <is>
          <t>VÄNERSBORG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56216-2025</t>
        </is>
      </c>
      <c r="B7378" s="1" t="n">
        <v>45974.48694444444</v>
      </c>
      <c r="C7378" s="1" t="n">
        <v>46011</v>
      </c>
      <c r="D7378" t="inlineStr">
        <is>
          <t>VÄSTRA GÖTALANDS LÄN</t>
        </is>
      </c>
      <c r="E7378" t="inlineStr">
        <is>
          <t>FALKÖPING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56217-2025</t>
        </is>
      </c>
      <c r="B7379" s="1" t="n">
        <v>45974.48746527778</v>
      </c>
      <c r="C7379" s="1" t="n">
        <v>46011</v>
      </c>
      <c r="D7379" t="inlineStr">
        <is>
          <t>VÄSTRA GÖTALANDS LÄN</t>
        </is>
      </c>
      <c r="E7379" t="inlineStr">
        <is>
          <t>FALKÖPING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6419-2025</t>
        </is>
      </c>
      <c r="B7380" s="1" t="n">
        <v>45699.47835648148</v>
      </c>
      <c r="C7380" s="1" t="n">
        <v>46011</v>
      </c>
      <c r="D7380" t="inlineStr">
        <is>
          <t>VÄSTRA GÖTALANDS LÄN</t>
        </is>
      </c>
      <c r="E7380" t="inlineStr">
        <is>
          <t>SKÖVDE</t>
        </is>
      </c>
      <c r="F7380" t="inlineStr">
        <is>
          <t>Kommuner</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56214-2025</t>
        </is>
      </c>
      <c r="B7381" s="1" t="n">
        <v>45974.48049768519</v>
      </c>
      <c r="C7381" s="1" t="n">
        <v>46011</v>
      </c>
      <c r="D7381" t="inlineStr">
        <is>
          <t>VÄSTRA GÖTALANDS LÄN</t>
        </is>
      </c>
      <c r="E7381" t="inlineStr">
        <is>
          <t>FALKÖPING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36141-2025</t>
        </is>
      </c>
      <c r="B7382" s="1" t="n">
        <v>45866.67653935185</v>
      </c>
      <c r="C7382" s="1" t="n">
        <v>46011</v>
      </c>
      <c r="D7382" t="inlineStr">
        <is>
          <t>VÄSTRA GÖTALANDS LÄN</t>
        </is>
      </c>
      <c r="E7382" t="inlineStr">
        <is>
          <t>MELLERUD</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17550-2025</t>
        </is>
      </c>
      <c r="B7383" s="1" t="n">
        <v>45757.61144675926</v>
      </c>
      <c r="C7383" s="1" t="n">
        <v>46011</v>
      </c>
      <c r="D7383" t="inlineStr">
        <is>
          <t>VÄSTRA GÖTALANDS LÄN</t>
        </is>
      </c>
      <c r="E7383" t="inlineStr">
        <is>
          <t>ALINGSÅS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26639-2025</t>
        </is>
      </c>
      <c r="B7384" s="1" t="n">
        <v>45810.36209490741</v>
      </c>
      <c r="C7384" s="1" t="n">
        <v>46011</v>
      </c>
      <c r="D7384" t="inlineStr">
        <is>
          <t>VÄSTRA GÖTALANDS LÄN</t>
        </is>
      </c>
      <c r="E7384" t="inlineStr">
        <is>
          <t>MELLERUD</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35948-2025</t>
        </is>
      </c>
      <c r="B7385" s="1" t="n">
        <v>45862.84484953704</v>
      </c>
      <c r="C7385" s="1" t="n">
        <v>46011</v>
      </c>
      <c r="D7385" t="inlineStr">
        <is>
          <t>VÄSTRA GÖTALANDS LÄN</t>
        </is>
      </c>
      <c r="E7385" t="inlineStr">
        <is>
          <t>SVENLJUNGA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55830-2025</t>
        </is>
      </c>
      <c r="B7386" s="1" t="n">
        <v>45972</v>
      </c>
      <c r="C7386" s="1" t="n">
        <v>46011</v>
      </c>
      <c r="D7386" t="inlineStr">
        <is>
          <t>VÄSTRA GÖTALANDS LÄN</t>
        </is>
      </c>
      <c r="E7386" t="inlineStr">
        <is>
          <t>STRÖMSTAD</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3886-2025</t>
        </is>
      </c>
      <c r="B7387" s="1" t="n">
        <v>45684.36366898148</v>
      </c>
      <c r="C7387" s="1" t="n">
        <v>46011</v>
      </c>
      <c r="D7387" t="inlineStr">
        <is>
          <t>VÄSTRA GÖTALANDS LÄN</t>
        </is>
      </c>
      <c r="E7387" t="inlineStr">
        <is>
          <t>TROLLHÄTTAN</t>
        </is>
      </c>
      <c r="F7387" t="inlineStr">
        <is>
          <t>Kommuner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56026-2025</t>
        </is>
      </c>
      <c r="B7388" s="1" t="n">
        <v>45973.59908564815</v>
      </c>
      <c r="C7388" s="1" t="n">
        <v>46011</v>
      </c>
      <c r="D7388" t="inlineStr">
        <is>
          <t>VÄSTRA GÖTALANDS LÄN</t>
        </is>
      </c>
      <c r="E7388" t="inlineStr">
        <is>
          <t>MELLERUD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56108-2025</t>
        </is>
      </c>
      <c r="B7389" s="1" t="n">
        <v>45973.73327546296</v>
      </c>
      <c r="C7389" s="1" t="n">
        <v>46011</v>
      </c>
      <c r="D7389" t="inlineStr">
        <is>
          <t>VÄSTRA GÖTALANDS LÄN</t>
        </is>
      </c>
      <c r="E7389" t="inlineStr">
        <is>
          <t>TRANEMO</t>
        </is>
      </c>
      <c r="F7389" t="inlineStr">
        <is>
          <t>Kyrkan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15227-2025</t>
        </is>
      </c>
      <c r="B7390" s="1" t="n">
        <v>45744.59334490741</v>
      </c>
      <c r="C7390" s="1" t="n">
        <v>46011</v>
      </c>
      <c r="D7390" t="inlineStr">
        <is>
          <t>VÄSTRA GÖTALANDS LÄN</t>
        </is>
      </c>
      <c r="E7390" t="inlineStr">
        <is>
          <t>MELLERUD</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13200-2022</t>
        </is>
      </c>
      <c r="B7391" s="1" t="n">
        <v>44644</v>
      </c>
      <c r="C7391" s="1" t="n">
        <v>46011</v>
      </c>
      <c r="D7391" t="inlineStr">
        <is>
          <t>VÄSTRA GÖTALANDS LÄN</t>
        </is>
      </c>
      <c r="E7391" t="inlineStr">
        <is>
          <t>HERRLJUNGA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47593-2025</t>
        </is>
      </c>
      <c r="B7392" s="1" t="n">
        <v>45931.4480787037</v>
      </c>
      <c r="C7392" s="1" t="n">
        <v>46011</v>
      </c>
      <c r="D7392" t="inlineStr">
        <is>
          <t>VÄSTRA GÖTALANDS LÄN</t>
        </is>
      </c>
      <c r="E7392" t="inlineStr">
        <is>
          <t>ALE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59212-2024</t>
        </is>
      </c>
      <c r="B7393" s="1" t="n">
        <v>45637</v>
      </c>
      <c r="C7393" s="1" t="n">
        <v>46011</v>
      </c>
      <c r="D7393" t="inlineStr">
        <is>
          <t>VÄSTRA GÖTALANDS LÄN</t>
        </is>
      </c>
      <c r="E7393" t="inlineStr">
        <is>
          <t>BORÅS</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59228-2024</t>
        </is>
      </c>
      <c r="B7394" s="1" t="n">
        <v>45637.58385416667</v>
      </c>
      <c r="C7394" s="1" t="n">
        <v>46011</v>
      </c>
      <c r="D7394" t="inlineStr">
        <is>
          <t>VÄSTRA GÖTALANDS LÄN</t>
        </is>
      </c>
      <c r="E7394" t="inlineStr">
        <is>
          <t>MARK</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7787-2023</t>
        </is>
      </c>
      <c r="B7395" s="1" t="n">
        <v>44973</v>
      </c>
      <c r="C7395" s="1" t="n">
        <v>46011</v>
      </c>
      <c r="D7395" t="inlineStr">
        <is>
          <t>VÄSTRA GÖTALANDS LÄN</t>
        </is>
      </c>
      <c r="E7395" t="inlineStr">
        <is>
          <t>TJÖRN</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47869-2025</t>
        </is>
      </c>
      <c r="B7396" s="1" t="n">
        <v>45932.44273148148</v>
      </c>
      <c r="C7396" s="1" t="n">
        <v>46011</v>
      </c>
      <c r="D7396" t="inlineStr">
        <is>
          <t>VÄSTRA GÖTALANDS LÄN</t>
        </is>
      </c>
      <c r="E7396" t="inlineStr">
        <is>
          <t>SKÖVDE</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7851-2023</t>
        </is>
      </c>
      <c r="B7397" s="1" t="n">
        <v>44973.52238425926</v>
      </c>
      <c r="C7397" s="1" t="n">
        <v>46011</v>
      </c>
      <c r="D7397" t="inlineStr">
        <is>
          <t>VÄSTRA GÖTALANDS LÄN</t>
        </is>
      </c>
      <c r="E7397" t="inlineStr">
        <is>
          <t>VARA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59257-2024</t>
        </is>
      </c>
      <c r="B7398" s="1" t="n">
        <v>45636</v>
      </c>
      <c r="C7398" s="1" t="n">
        <v>46011</v>
      </c>
      <c r="D7398" t="inlineStr">
        <is>
          <t>VÄSTRA GÖTALANDS LÄN</t>
        </is>
      </c>
      <c r="E7398" t="inlineStr">
        <is>
          <t>MUNKEDAL</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36080-2025</t>
        </is>
      </c>
      <c r="B7399" s="1" t="n">
        <v>45866.45084490741</v>
      </c>
      <c r="C7399" s="1" t="n">
        <v>46011</v>
      </c>
      <c r="D7399" t="inlineStr">
        <is>
          <t>VÄSTRA GÖTALANDS LÄN</t>
        </is>
      </c>
      <c r="E7399" t="inlineStr">
        <is>
          <t>ULRICEHAMN</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47884-2025</t>
        </is>
      </c>
      <c r="B7400" s="1" t="n">
        <v>45932.46387731482</v>
      </c>
      <c r="C7400" s="1" t="n">
        <v>46011</v>
      </c>
      <c r="D7400" t="inlineStr">
        <is>
          <t>VÄSTRA GÖTALANDS LÄN</t>
        </is>
      </c>
      <c r="E7400" t="inlineStr">
        <is>
          <t>BENGTSFORS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59745-2024</t>
        </is>
      </c>
      <c r="B7401" s="1" t="n">
        <v>45639.5343287037</v>
      </c>
      <c r="C7401" s="1" t="n">
        <v>46011</v>
      </c>
      <c r="D7401" t="inlineStr">
        <is>
          <t>VÄSTRA GÖTALANDS LÄN</t>
        </is>
      </c>
      <c r="E7401" t="inlineStr">
        <is>
          <t>VÄNERSBORG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59754-2024</t>
        </is>
      </c>
      <c r="B7402" s="1" t="n">
        <v>45639.54719907408</v>
      </c>
      <c r="C7402" s="1" t="n">
        <v>46011</v>
      </c>
      <c r="D7402" t="inlineStr">
        <is>
          <t>VÄSTRA GÖTALANDS LÄN</t>
        </is>
      </c>
      <c r="E7402" t="inlineStr">
        <is>
          <t>HERRLJUNGA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48036-2025</t>
        </is>
      </c>
      <c r="B7403" s="1" t="n">
        <v>45932</v>
      </c>
      <c r="C7403" s="1" t="n">
        <v>46011</v>
      </c>
      <c r="D7403" t="inlineStr">
        <is>
          <t>VÄSTRA GÖTALANDS LÄN</t>
        </is>
      </c>
      <c r="E7403" t="inlineStr">
        <is>
          <t>VÄNERSBORG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21425-2025</t>
        </is>
      </c>
      <c r="B7404" s="1" t="n">
        <v>45782.50599537037</v>
      </c>
      <c r="C7404" s="1" t="n">
        <v>46011</v>
      </c>
      <c r="D7404" t="inlineStr">
        <is>
          <t>VÄSTRA GÖTALANDS LÄN</t>
        </is>
      </c>
      <c r="E7404" t="inlineStr">
        <is>
          <t>ÅMÅL</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33454-2023</t>
        </is>
      </c>
      <c r="B7405" s="1" t="n">
        <v>45130</v>
      </c>
      <c r="C7405" s="1" t="n">
        <v>46011</v>
      </c>
      <c r="D7405" t="inlineStr">
        <is>
          <t>VÄSTRA GÖTALANDS LÄN</t>
        </is>
      </c>
      <c r="E7405" t="inlineStr">
        <is>
          <t>ORUST</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33459-2023</t>
        </is>
      </c>
      <c r="B7406" s="1" t="n">
        <v>45131.35476851852</v>
      </c>
      <c r="C7406" s="1" t="n">
        <v>46011</v>
      </c>
      <c r="D7406" t="inlineStr">
        <is>
          <t>VÄSTRA GÖTALANDS LÄN</t>
        </is>
      </c>
      <c r="E7406" t="inlineStr">
        <is>
          <t>TRANEMO</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36016-2025</t>
        </is>
      </c>
      <c r="B7407" s="1" t="n">
        <v>45863.6363425926</v>
      </c>
      <c r="C7407" s="1" t="n">
        <v>46011</v>
      </c>
      <c r="D7407" t="inlineStr">
        <is>
          <t>VÄSTRA GÖTALANDS LÄN</t>
        </is>
      </c>
      <c r="E7407" t="inlineStr">
        <is>
          <t>BORÅS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47844-2025</t>
        </is>
      </c>
      <c r="B7408" s="1" t="n">
        <v>45932.38077546296</v>
      </c>
      <c r="C7408" s="1" t="n">
        <v>46011</v>
      </c>
      <c r="D7408" t="inlineStr">
        <is>
          <t>VÄSTRA GÖTALANDS LÄN</t>
        </is>
      </c>
      <c r="E7408" t="inlineStr">
        <is>
          <t>GRÄSTORP</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36028-2025</t>
        </is>
      </c>
      <c r="B7409" s="1" t="n">
        <v>45864.64525462963</v>
      </c>
      <c r="C7409" s="1" t="n">
        <v>46011</v>
      </c>
      <c r="D7409" t="inlineStr">
        <is>
          <t>VÄSTRA GÖTALANDS LÄN</t>
        </is>
      </c>
      <c r="E7409" t="inlineStr">
        <is>
          <t>BORÅS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36048-2025</t>
        </is>
      </c>
      <c r="B7410" s="1" t="n">
        <v>45866.36832175926</v>
      </c>
      <c r="C7410" s="1" t="n">
        <v>46011</v>
      </c>
      <c r="D7410" t="inlineStr">
        <is>
          <t>VÄSTRA GÖTALANDS LÄN</t>
        </is>
      </c>
      <c r="E7410" t="inlineStr">
        <is>
          <t>MELLERUD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47855-2025</t>
        </is>
      </c>
      <c r="B7411" s="1" t="n">
        <v>45932.39648148148</v>
      </c>
      <c r="C7411" s="1" t="n">
        <v>46011</v>
      </c>
      <c r="D7411" t="inlineStr">
        <is>
          <t>VÄSTRA GÖTALANDS LÄN</t>
        </is>
      </c>
      <c r="E7411" t="inlineStr">
        <is>
          <t>FALKÖPING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47728-2025</t>
        </is>
      </c>
      <c r="B7412" s="1" t="n">
        <v>45931.63186342592</v>
      </c>
      <c r="C7412" s="1" t="n">
        <v>46011</v>
      </c>
      <c r="D7412" t="inlineStr">
        <is>
          <t>VÄSTRA GÖTALANDS LÄN</t>
        </is>
      </c>
      <c r="E7412" t="inlineStr">
        <is>
          <t>ALE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12819-2022</t>
        </is>
      </c>
      <c r="B7413" s="1" t="n">
        <v>44642</v>
      </c>
      <c r="C7413" s="1" t="n">
        <v>46011</v>
      </c>
      <c r="D7413" t="inlineStr">
        <is>
          <t>VÄSTRA GÖTALANDS LÄN</t>
        </is>
      </c>
      <c r="E7413" t="inlineStr">
        <is>
          <t>LIDKÖPING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57178-2022</t>
        </is>
      </c>
      <c r="B7414" s="1" t="n">
        <v>44895</v>
      </c>
      <c r="C7414" s="1" t="n">
        <v>46011</v>
      </c>
      <c r="D7414" t="inlineStr">
        <is>
          <t>VÄSTRA GÖTALANDS LÄN</t>
        </is>
      </c>
      <c r="E7414" t="inlineStr">
        <is>
          <t>LERUM</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36067-2025</t>
        </is>
      </c>
      <c r="B7415" s="1" t="n">
        <v>45866</v>
      </c>
      <c r="C7415" s="1" t="n">
        <v>46011</v>
      </c>
      <c r="D7415" t="inlineStr">
        <is>
          <t>VÄSTRA GÖTALANDS LÄN</t>
        </is>
      </c>
      <c r="E7415" t="inlineStr">
        <is>
          <t>ULRICEHAMN</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36138-2025</t>
        </is>
      </c>
      <c r="B7416" s="1" t="n">
        <v>45866.64443287037</v>
      </c>
      <c r="C7416" s="1" t="n">
        <v>46011</v>
      </c>
      <c r="D7416" t="inlineStr">
        <is>
          <t>VÄSTRA GÖTALANDS LÄN</t>
        </is>
      </c>
      <c r="E7416" t="inlineStr">
        <is>
          <t>MELLERUD</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20975-2023</t>
        </is>
      </c>
      <c r="B7417" s="1" t="n">
        <v>45056</v>
      </c>
      <c r="C7417" s="1" t="n">
        <v>46011</v>
      </c>
      <c r="D7417" t="inlineStr">
        <is>
          <t>VÄSTRA GÖTALANDS LÄN</t>
        </is>
      </c>
      <c r="E7417" t="inlineStr">
        <is>
          <t>SVENLJUNGA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57154-2022</t>
        </is>
      </c>
      <c r="B7418" s="1" t="n">
        <v>44895.58527777778</v>
      </c>
      <c r="C7418" s="1" t="n">
        <v>46011</v>
      </c>
      <c r="D7418" t="inlineStr">
        <is>
          <t>VÄSTRA GÖTALANDS LÄN</t>
        </is>
      </c>
      <c r="E7418" t="inlineStr">
        <is>
          <t>LERUM</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56654-2025</t>
        </is>
      </c>
      <c r="B7419" s="1" t="n">
        <v>45975.64869212963</v>
      </c>
      <c r="C7419" s="1" t="n">
        <v>46011</v>
      </c>
      <c r="D7419" t="inlineStr">
        <is>
          <t>VÄSTRA GÖTALANDS LÄN</t>
        </is>
      </c>
      <c r="E7419" t="inlineStr">
        <is>
          <t>ORUST</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56766-2023</t>
        </is>
      </c>
      <c r="B7420" s="1" t="n">
        <v>45244.39653935185</v>
      </c>
      <c r="C7420" s="1" t="n">
        <v>46011</v>
      </c>
      <c r="D7420" t="inlineStr">
        <is>
          <t>VÄSTRA GÖTALANDS LÄN</t>
        </is>
      </c>
      <c r="E7420" t="inlineStr">
        <is>
          <t>MUNKEDAL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53424-2023</t>
        </is>
      </c>
      <c r="B7421" s="1" t="n">
        <v>45229</v>
      </c>
      <c r="C7421" s="1" t="n">
        <v>46011</v>
      </c>
      <c r="D7421" t="inlineStr">
        <is>
          <t>VÄSTRA GÖTALANDS LÄN</t>
        </is>
      </c>
      <c r="E7421" t="inlineStr">
        <is>
          <t>MUNKEDAL</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1379-2024</t>
        </is>
      </c>
      <c r="B7422" s="1" t="n">
        <v>45303.55193287037</v>
      </c>
      <c r="C7422" s="1" t="n">
        <v>46011</v>
      </c>
      <c r="D7422" t="inlineStr">
        <is>
          <t>VÄSTRA GÖTALANDS LÄN</t>
        </is>
      </c>
      <c r="E7422" t="inlineStr">
        <is>
          <t>TJÖRN</t>
        </is>
      </c>
      <c r="F7422" t="inlineStr">
        <is>
          <t>Kommuner</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62705-2023</t>
        </is>
      </c>
      <c r="B7423" s="1" t="n">
        <v>45271</v>
      </c>
      <c r="C7423" s="1" t="n">
        <v>46011</v>
      </c>
      <c r="D7423" t="inlineStr">
        <is>
          <t>VÄSTRA GÖTALANDS LÄN</t>
        </is>
      </c>
      <c r="E7423" t="inlineStr">
        <is>
          <t>ÅMÅL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11052-2025</t>
        </is>
      </c>
      <c r="B7424" s="1" t="n">
        <v>45723</v>
      </c>
      <c r="C7424" s="1" t="n">
        <v>46011</v>
      </c>
      <c r="D7424" t="inlineStr">
        <is>
          <t>VÄSTRA GÖTALANDS LÄN</t>
        </is>
      </c>
      <c r="E7424" t="inlineStr">
        <is>
          <t>BENGTSFORS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61237-2024</t>
        </is>
      </c>
      <c r="B7425" s="1" t="n">
        <v>45645.67826388889</v>
      </c>
      <c r="C7425" s="1" t="n">
        <v>46011</v>
      </c>
      <c r="D7425" t="inlineStr">
        <is>
          <t>VÄSTRA GÖTALANDS LÄN</t>
        </is>
      </c>
      <c r="E7425" t="inlineStr">
        <is>
          <t>BENGTSFORS</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61247-2024</t>
        </is>
      </c>
      <c r="B7426" s="1" t="n">
        <v>45645.69128472222</v>
      </c>
      <c r="C7426" s="1" t="n">
        <v>46011</v>
      </c>
      <c r="D7426" t="inlineStr">
        <is>
          <t>VÄSTRA GÖTALANDS LÄN</t>
        </is>
      </c>
      <c r="E7426" t="inlineStr">
        <is>
          <t>STRÖMSTAD</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64070-2023</t>
        </is>
      </c>
      <c r="B7427" s="1" t="n">
        <v>45279</v>
      </c>
      <c r="C7427" s="1" t="n">
        <v>46011</v>
      </c>
      <c r="D7427" t="inlineStr">
        <is>
          <t>VÄSTRA GÖTALANDS LÄN</t>
        </is>
      </c>
      <c r="E7427" t="inlineStr">
        <is>
          <t>ALINGSÅS</t>
        </is>
      </c>
      <c r="F7427" t="inlineStr">
        <is>
          <t>Kommuner</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57473-2022</t>
        </is>
      </c>
      <c r="B7428" s="1" t="n">
        <v>44896</v>
      </c>
      <c r="C7428" s="1" t="n">
        <v>46011</v>
      </c>
      <c r="D7428" t="inlineStr">
        <is>
          <t>VÄSTRA GÖTALANDS LÄN</t>
        </is>
      </c>
      <c r="E7428" t="inlineStr">
        <is>
          <t>ALE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3662-2021</t>
        </is>
      </c>
      <c r="B7429" s="1" t="n">
        <v>44221</v>
      </c>
      <c r="C7429" s="1" t="n">
        <v>46011</v>
      </c>
      <c r="D7429" t="inlineStr">
        <is>
          <t>VÄSTRA GÖTALANDS LÄN</t>
        </is>
      </c>
      <c r="E7429" t="inlineStr">
        <is>
          <t>HÄRRYDA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60086-2024</t>
        </is>
      </c>
      <c r="B7430" s="1" t="n">
        <v>45642.54302083333</v>
      </c>
      <c r="C7430" s="1" t="n">
        <v>46011</v>
      </c>
      <c r="D7430" t="inlineStr">
        <is>
          <t>VÄSTRA GÖTALANDS LÄN</t>
        </is>
      </c>
      <c r="E7430" t="inlineStr">
        <is>
          <t>SKARA</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57381-2022</t>
        </is>
      </c>
      <c r="B7431" s="1" t="n">
        <v>44896</v>
      </c>
      <c r="C7431" s="1" t="n">
        <v>46011</v>
      </c>
      <c r="D7431" t="inlineStr">
        <is>
          <t>VÄSTRA GÖTALANDS LÄN</t>
        </is>
      </c>
      <c r="E7431" t="inlineStr">
        <is>
          <t>LILLA EDET</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57409-2022</t>
        </is>
      </c>
      <c r="B7432" s="1" t="n">
        <v>44896.4927662037</v>
      </c>
      <c r="C7432" s="1" t="n">
        <v>46011</v>
      </c>
      <c r="D7432" t="inlineStr">
        <is>
          <t>VÄSTRA GÖTALANDS LÄN</t>
        </is>
      </c>
      <c r="E7432" t="inlineStr">
        <is>
          <t>MUNKEDAL</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57446-2022</t>
        </is>
      </c>
      <c r="B7433" s="1" t="n">
        <v>44896.54659722222</v>
      </c>
      <c r="C7433" s="1" t="n">
        <v>46011</v>
      </c>
      <c r="D7433" t="inlineStr">
        <is>
          <t>VÄSTRA GÖTALANDS LÄN</t>
        </is>
      </c>
      <c r="E7433" t="inlineStr">
        <is>
          <t>FÄRGELANDA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3880-2022</t>
        </is>
      </c>
      <c r="B7434" s="1" t="n">
        <v>44587.45909722222</v>
      </c>
      <c r="C7434" s="1" t="n">
        <v>46011</v>
      </c>
      <c r="D7434" t="inlineStr">
        <is>
          <t>VÄSTRA GÖTALANDS LÄN</t>
        </is>
      </c>
      <c r="E7434" t="inlineStr">
        <is>
          <t>VÄNERSBORG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27232-2024</t>
        </is>
      </c>
      <c r="B7435" s="1" t="n">
        <v>45471</v>
      </c>
      <c r="C7435" s="1" t="n">
        <v>46011</v>
      </c>
      <c r="D7435" t="inlineStr">
        <is>
          <t>VÄSTRA GÖTALANDS LÄN</t>
        </is>
      </c>
      <c r="E7435" t="inlineStr">
        <is>
          <t>VÄNERSBORG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22200-2025</t>
        </is>
      </c>
      <c r="B7436" s="1" t="n">
        <v>45785</v>
      </c>
      <c r="C7436" s="1" t="n">
        <v>46011</v>
      </c>
      <c r="D7436" t="inlineStr">
        <is>
          <t>VÄSTRA GÖTALANDS LÄN</t>
        </is>
      </c>
      <c r="E7436" t="inlineStr">
        <is>
          <t>BENGTSFORS</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50806-2024</t>
        </is>
      </c>
      <c r="B7437" s="1" t="n">
        <v>45602.51206018519</v>
      </c>
      <c r="C7437" s="1" t="n">
        <v>46011</v>
      </c>
      <c r="D7437" t="inlineStr">
        <is>
          <t>VÄSTRA GÖTALANDS LÄN</t>
        </is>
      </c>
      <c r="E7437" t="inlineStr">
        <is>
          <t>ULRICEHAMN</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53425-2023</t>
        </is>
      </c>
      <c r="B7438" s="1" t="n">
        <v>45229</v>
      </c>
      <c r="C7438" s="1" t="n">
        <v>46011</v>
      </c>
      <c r="D7438" t="inlineStr">
        <is>
          <t>VÄSTRA GÖTALANDS LÄN</t>
        </is>
      </c>
      <c r="E7438" t="inlineStr">
        <is>
          <t>MUNKEDAL</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36055-2025</t>
        </is>
      </c>
      <c r="B7439" s="1" t="n">
        <v>45866</v>
      </c>
      <c r="C7439" s="1" t="n">
        <v>46011</v>
      </c>
      <c r="D7439" t="inlineStr">
        <is>
          <t>VÄSTRA GÖTALANDS LÄN</t>
        </is>
      </c>
      <c r="E7439" t="inlineStr">
        <is>
          <t>KUNGÄLV</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23862-2023</t>
        </is>
      </c>
      <c r="B7440" s="1" t="n">
        <v>45075</v>
      </c>
      <c r="C7440" s="1" t="n">
        <v>46011</v>
      </c>
      <c r="D7440" t="inlineStr">
        <is>
          <t>VÄSTRA GÖTALANDS LÄN</t>
        </is>
      </c>
      <c r="E7440" t="inlineStr">
        <is>
          <t>DALS-ED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59739-2021</t>
        </is>
      </c>
      <c r="B7441" s="1" t="n">
        <v>44494.4421875</v>
      </c>
      <c r="C7441" s="1" t="n">
        <v>46011</v>
      </c>
      <c r="D7441" t="inlineStr">
        <is>
          <t>VÄSTRA GÖTALANDS LÄN</t>
        </is>
      </c>
      <c r="E7441" t="inlineStr">
        <is>
          <t>SVENLJUNGA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56578-2025</t>
        </is>
      </c>
      <c r="B7442" s="1" t="n">
        <v>45974</v>
      </c>
      <c r="C7442" s="1" t="n">
        <v>46011</v>
      </c>
      <c r="D7442" t="inlineStr">
        <is>
          <t>VÄSTRA GÖTALANDS LÄN</t>
        </is>
      </c>
      <c r="E7442" t="inlineStr">
        <is>
          <t>MUNKEDAL</t>
        </is>
      </c>
      <c r="F7442" t="inlineStr">
        <is>
          <t>Övriga Aktiebolag</t>
        </is>
      </c>
      <c r="G7442" t="n">
        <v>18.6</v>
      </c>
      <c r="H7442" t="n">
        <v>0</v>
      </c>
      <c r="I7442" t="n">
        <v>0</v>
      </c>
      <c r="J7442" t="n">
        <v>0</v>
      </c>
      <c r="K7442" t="n">
        <v>0</v>
      </c>
      <c r="L7442" t="n">
        <v>0</v>
      </c>
      <c r="M7442" t="n">
        <v>0</v>
      </c>
      <c r="N7442" t="n">
        <v>0</v>
      </c>
      <c r="O7442" t="n">
        <v>0</v>
      </c>
      <c r="P7442" t="n">
        <v>0</v>
      </c>
      <c r="Q7442" t="n">
        <v>0</v>
      </c>
      <c r="R7442" s="2" t="inlineStr"/>
    </row>
    <row r="7443" ht="15" customHeight="1">
      <c r="A7443" t="inlineStr">
        <is>
          <t>A 56880-2025</t>
        </is>
      </c>
      <c r="B7443" s="1" t="n">
        <v>45978.55325231481</v>
      </c>
      <c r="C7443" s="1" t="n">
        <v>46011</v>
      </c>
      <c r="D7443" t="inlineStr">
        <is>
          <t>VÄSTRA GÖTALANDS LÄN</t>
        </is>
      </c>
      <c r="E7443" t="inlineStr">
        <is>
          <t>DALS-ED</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8053-2021</t>
        </is>
      </c>
      <c r="B7444" s="1" t="n">
        <v>44243</v>
      </c>
      <c r="C7444" s="1" t="n">
        <v>46011</v>
      </c>
      <c r="D7444" t="inlineStr">
        <is>
          <t>VÄSTRA GÖTALANDS LÄN</t>
        </is>
      </c>
      <c r="E7444" t="inlineStr">
        <is>
          <t>LIDKÖPING</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56893-2025</t>
        </is>
      </c>
      <c r="B7445" s="1" t="n">
        <v>45978.56734953704</v>
      </c>
      <c r="C7445" s="1" t="n">
        <v>46011</v>
      </c>
      <c r="D7445" t="inlineStr">
        <is>
          <t>VÄSTRA GÖTALANDS LÄN</t>
        </is>
      </c>
      <c r="E7445" t="inlineStr">
        <is>
          <t>VÄNERSBORG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56896-2025</t>
        </is>
      </c>
      <c r="B7446" s="1" t="n">
        <v>45978.56829861111</v>
      </c>
      <c r="C7446" s="1" t="n">
        <v>46011</v>
      </c>
      <c r="D7446" t="inlineStr">
        <is>
          <t>VÄSTRA GÖTALANDS LÄN</t>
        </is>
      </c>
      <c r="E7446" t="inlineStr">
        <is>
          <t>HERRLJUNGA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56905-2025</t>
        </is>
      </c>
      <c r="B7447" s="1" t="n">
        <v>45978.57502314815</v>
      </c>
      <c r="C7447" s="1" t="n">
        <v>46011</v>
      </c>
      <c r="D7447" t="inlineStr">
        <is>
          <t>VÄSTRA GÖTALANDS LÄN</t>
        </is>
      </c>
      <c r="E7447" t="inlineStr">
        <is>
          <t>ALE</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56937-2025</t>
        </is>
      </c>
      <c r="B7448" s="1" t="n">
        <v>45978.61762731482</v>
      </c>
      <c r="C7448" s="1" t="n">
        <v>46011</v>
      </c>
      <c r="D7448" t="inlineStr">
        <is>
          <t>VÄSTRA GÖTALANDS LÄN</t>
        </is>
      </c>
      <c r="E7448" t="inlineStr">
        <is>
          <t>TRANEMO</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34530-2024</t>
        </is>
      </c>
      <c r="B7449" s="1" t="n">
        <v>45525</v>
      </c>
      <c r="C7449" s="1" t="n">
        <v>46011</v>
      </c>
      <c r="D7449" t="inlineStr">
        <is>
          <t>VÄSTRA GÖTALANDS LÄN</t>
        </is>
      </c>
      <c r="E7449" t="inlineStr">
        <is>
          <t>TIBRO</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56951-2025</t>
        </is>
      </c>
      <c r="B7450" s="1" t="n">
        <v>45978.65059027778</v>
      </c>
      <c r="C7450" s="1" t="n">
        <v>46011</v>
      </c>
      <c r="D7450" t="inlineStr">
        <is>
          <t>VÄSTRA GÖTALANDS LÄN</t>
        </is>
      </c>
      <c r="E7450" t="inlineStr">
        <is>
          <t>DALS-ED</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48357-2025</t>
        </is>
      </c>
      <c r="B7451" s="1" t="n">
        <v>45933.66127314815</v>
      </c>
      <c r="C7451" s="1" t="n">
        <v>46011</v>
      </c>
      <c r="D7451" t="inlineStr">
        <is>
          <t>VÄSTRA GÖTALANDS LÄN</t>
        </is>
      </c>
      <c r="E7451" t="inlineStr">
        <is>
          <t>HERRLJUNGA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24595-2021</t>
        </is>
      </c>
      <c r="B7452" s="1" t="n">
        <v>44340</v>
      </c>
      <c r="C7452" s="1" t="n">
        <v>46011</v>
      </c>
      <c r="D7452" t="inlineStr">
        <is>
          <t>VÄSTRA GÖTALANDS LÄN</t>
        </is>
      </c>
      <c r="E7452" t="inlineStr">
        <is>
          <t>BENGTSFORS</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35968-2025</t>
        </is>
      </c>
      <c r="B7453" s="1" t="n">
        <v>45863.40622685185</v>
      </c>
      <c r="C7453" s="1" t="n">
        <v>46011</v>
      </c>
      <c r="D7453" t="inlineStr">
        <is>
          <t>VÄSTRA GÖTALANDS LÄN</t>
        </is>
      </c>
      <c r="E7453" t="inlineStr">
        <is>
          <t>FALKÖPING</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36123-2025</t>
        </is>
      </c>
      <c r="B7454" s="1" t="n">
        <v>45866.61204861111</v>
      </c>
      <c r="C7454" s="1" t="n">
        <v>46011</v>
      </c>
      <c r="D7454" t="inlineStr">
        <is>
          <t>VÄSTRA GÖTALANDS LÄN</t>
        </is>
      </c>
      <c r="E7454" t="inlineStr">
        <is>
          <t>MELLERUD</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15458-2025</t>
        </is>
      </c>
      <c r="B7455" s="1" t="n">
        <v>45747.50989583333</v>
      </c>
      <c r="C7455" s="1" t="n">
        <v>46011</v>
      </c>
      <c r="D7455" t="inlineStr">
        <is>
          <t>VÄSTRA GÖTALANDS LÄN</t>
        </is>
      </c>
      <c r="E7455" t="inlineStr">
        <is>
          <t>VÄNERSBORG</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55968-2024</t>
        </is>
      </c>
      <c r="B7456" s="1" t="n">
        <v>45623.64943287037</v>
      </c>
      <c r="C7456" s="1" t="n">
        <v>46011</v>
      </c>
      <c r="D7456" t="inlineStr">
        <is>
          <t>VÄSTRA GÖTALANDS LÄN</t>
        </is>
      </c>
      <c r="E7456" t="inlineStr">
        <is>
          <t>BENGTSFORS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15463-2023</t>
        </is>
      </c>
      <c r="B7457" s="1" t="n">
        <v>45019</v>
      </c>
      <c r="C7457" s="1" t="n">
        <v>46011</v>
      </c>
      <c r="D7457" t="inlineStr">
        <is>
          <t>VÄSTRA GÖTALANDS LÄN</t>
        </is>
      </c>
      <c r="E7457" t="inlineStr">
        <is>
          <t>ÅMÅL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24787-2021</t>
        </is>
      </c>
      <c r="B7458" s="1" t="n">
        <v>44340</v>
      </c>
      <c r="C7458" s="1" t="n">
        <v>46011</v>
      </c>
      <c r="D7458" t="inlineStr">
        <is>
          <t>VÄSTRA GÖTALANDS LÄN</t>
        </is>
      </c>
      <c r="E7458" t="inlineStr">
        <is>
          <t>MARK</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48440-2025</t>
        </is>
      </c>
      <c r="B7459" s="1" t="n">
        <v>45935.51550925926</v>
      </c>
      <c r="C7459" s="1" t="n">
        <v>46011</v>
      </c>
      <c r="D7459" t="inlineStr">
        <is>
          <t>VÄSTRA GÖTALANDS LÄN</t>
        </is>
      </c>
      <c r="E7459" t="inlineStr">
        <is>
          <t>HÄRRYDA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48449-2025</t>
        </is>
      </c>
      <c r="B7460" s="1" t="n">
        <v>45935.72084490741</v>
      </c>
      <c r="C7460" s="1" t="n">
        <v>46011</v>
      </c>
      <c r="D7460" t="inlineStr">
        <is>
          <t>VÄSTRA GÖTALANDS LÄN</t>
        </is>
      </c>
      <c r="E7460" t="inlineStr">
        <is>
          <t>BORÅS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48452-2025</t>
        </is>
      </c>
      <c r="B7461" s="1" t="n">
        <v>45935.79104166666</v>
      </c>
      <c r="C7461" s="1" t="n">
        <v>46011</v>
      </c>
      <c r="D7461" t="inlineStr">
        <is>
          <t>VÄSTRA GÖTALANDS LÄN</t>
        </is>
      </c>
      <c r="E7461" t="inlineStr">
        <is>
          <t>VÅRGÅRDA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23592-2022</t>
        </is>
      </c>
      <c r="B7462" s="1" t="n">
        <v>44721</v>
      </c>
      <c r="C7462" s="1" t="n">
        <v>46011</v>
      </c>
      <c r="D7462" t="inlineStr">
        <is>
          <t>VÄSTRA GÖTALANDS LÄN</t>
        </is>
      </c>
      <c r="E7462" t="inlineStr">
        <is>
          <t>LERUM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66008-2021</t>
        </is>
      </c>
      <c r="B7463" s="1" t="n">
        <v>44517.57920138889</v>
      </c>
      <c r="C7463" s="1" t="n">
        <v>46011</v>
      </c>
      <c r="D7463" t="inlineStr">
        <is>
          <t>VÄSTRA GÖTALANDS LÄN</t>
        </is>
      </c>
      <c r="E7463" t="inlineStr">
        <is>
          <t>LERUM</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15466-2023</t>
        </is>
      </c>
      <c r="B7464" s="1" t="n">
        <v>45019</v>
      </c>
      <c r="C7464" s="1" t="n">
        <v>46011</v>
      </c>
      <c r="D7464" t="inlineStr">
        <is>
          <t>VÄSTRA GÖTALANDS LÄN</t>
        </is>
      </c>
      <c r="E7464" t="inlineStr">
        <is>
          <t>ÅMÅL</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66104-2021</t>
        </is>
      </c>
      <c r="B7465" s="1" t="n">
        <v>44517</v>
      </c>
      <c r="C7465" s="1" t="n">
        <v>46011</v>
      </c>
      <c r="D7465" t="inlineStr">
        <is>
          <t>VÄSTRA GÖTALANDS LÄN</t>
        </is>
      </c>
      <c r="E7465" t="inlineStr">
        <is>
          <t>LERUM</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61629-2024</t>
        </is>
      </c>
      <c r="B7466" s="1" t="n">
        <v>45646.66476851852</v>
      </c>
      <c r="C7466" s="1" t="n">
        <v>46011</v>
      </c>
      <c r="D7466" t="inlineStr">
        <is>
          <t>VÄSTRA GÖTALANDS LÄN</t>
        </is>
      </c>
      <c r="E7466" t="inlineStr">
        <is>
          <t>UDDEVALLA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56922-2025</t>
        </is>
      </c>
      <c r="B7467" s="1" t="n">
        <v>45978.59846064815</v>
      </c>
      <c r="C7467" s="1" t="n">
        <v>46011</v>
      </c>
      <c r="D7467" t="inlineStr">
        <is>
          <t>VÄSTRA GÖTALANDS LÄN</t>
        </is>
      </c>
      <c r="E7467" t="inlineStr">
        <is>
          <t>VÄNERSBORG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23662-2023</t>
        </is>
      </c>
      <c r="B7468" s="1" t="n">
        <v>45077</v>
      </c>
      <c r="C7468" s="1" t="n">
        <v>46011</v>
      </c>
      <c r="D7468" t="inlineStr">
        <is>
          <t>VÄSTRA GÖTALANDS LÄN</t>
        </is>
      </c>
      <c r="E7468" t="inlineStr">
        <is>
          <t>TÖREBODA</t>
        </is>
      </c>
      <c r="F7468" t="inlineStr">
        <is>
          <t>Övriga Aktiebolag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36191-2025</t>
        </is>
      </c>
      <c r="B7469" s="1" t="n">
        <v>45867.42372685186</v>
      </c>
      <c r="C7469" s="1" t="n">
        <v>46011</v>
      </c>
      <c r="D7469" t="inlineStr">
        <is>
          <t>VÄSTRA GÖTALANDS LÄN</t>
        </is>
      </c>
      <c r="E7469" t="inlineStr">
        <is>
          <t>TROLLHÄTTAN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56938-2025</t>
        </is>
      </c>
      <c r="B7470" s="1" t="n">
        <v>45978.62155092593</v>
      </c>
      <c r="C7470" s="1" t="n">
        <v>46011</v>
      </c>
      <c r="D7470" t="inlineStr">
        <is>
          <t>VÄSTRA GÖTALANDS LÄN</t>
        </is>
      </c>
      <c r="E7470" t="inlineStr">
        <is>
          <t>FALKÖPING</t>
        </is>
      </c>
      <c r="F7470" t="inlineStr">
        <is>
          <t>Sveaskog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28569-2025</t>
        </is>
      </c>
      <c r="B7471" s="1" t="n">
        <v>45819.55914351852</v>
      </c>
      <c r="C7471" s="1" t="n">
        <v>46011</v>
      </c>
      <c r="D7471" t="inlineStr">
        <is>
          <t>VÄSTRA GÖTALANDS LÄN</t>
        </is>
      </c>
      <c r="E7471" t="inlineStr">
        <is>
          <t>MUNKEDAL</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56414-2025</t>
        </is>
      </c>
      <c r="B7472" s="1" t="n">
        <v>45975.33076388889</v>
      </c>
      <c r="C7472" s="1" t="n">
        <v>46011</v>
      </c>
      <c r="D7472" t="inlineStr">
        <is>
          <t>VÄSTRA GÖTALANDS LÄN</t>
        </is>
      </c>
      <c r="E7472" t="inlineStr">
        <is>
          <t>GÖTENE</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56417-2025</t>
        </is>
      </c>
      <c r="B7473" s="1" t="n">
        <v>45975.34238425926</v>
      </c>
      <c r="C7473" s="1" t="n">
        <v>46011</v>
      </c>
      <c r="D7473" t="inlineStr">
        <is>
          <t>VÄSTRA GÖTALANDS LÄN</t>
        </is>
      </c>
      <c r="E7473" t="inlineStr">
        <is>
          <t>GÖTENE</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36192-2025</t>
        </is>
      </c>
      <c r="B7474" s="1" t="n">
        <v>45867.42621527778</v>
      </c>
      <c r="C7474" s="1" t="n">
        <v>46011</v>
      </c>
      <c r="D7474" t="inlineStr">
        <is>
          <t>VÄSTRA GÖTALANDS LÄN</t>
        </is>
      </c>
      <c r="E7474" t="inlineStr">
        <is>
          <t>TROLLHÄTTAN</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36185-2025</t>
        </is>
      </c>
      <c r="B7475" s="1" t="n">
        <v>45867</v>
      </c>
      <c r="C7475" s="1" t="n">
        <v>46011</v>
      </c>
      <c r="D7475" t="inlineStr">
        <is>
          <t>VÄSTRA GÖTALANDS LÄN</t>
        </is>
      </c>
      <c r="E7475" t="inlineStr">
        <is>
          <t>FALKÖPING</t>
        </is>
      </c>
      <c r="G7475" t="n">
        <v>6.7</v>
      </c>
      <c r="H7475" t="n">
        <v>0</v>
      </c>
      <c r="I7475" t="n">
        <v>0</v>
      </c>
      <c r="J7475" t="n">
        <v>0</v>
      </c>
      <c r="K7475" t="n">
        <v>0</v>
      </c>
      <c r="L7475" t="n">
        <v>0</v>
      </c>
      <c r="M7475" t="n">
        <v>0</v>
      </c>
      <c r="N7475" t="n">
        <v>0</v>
      </c>
      <c r="O7475" t="n">
        <v>0</v>
      </c>
      <c r="P7475" t="n">
        <v>0</v>
      </c>
      <c r="Q7475" t="n">
        <v>0</v>
      </c>
      <c r="R7475" s="2" t="inlineStr"/>
    </row>
    <row r="7476" ht="15" customHeight="1">
      <c r="A7476" t="inlineStr">
        <is>
          <t>A 56805-2025</t>
        </is>
      </c>
      <c r="B7476" s="1" t="n">
        <v>45978.44703703704</v>
      </c>
      <c r="C7476" s="1" t="n">
        <v>46011</v>
      </c>
      <c r="D7476" t="inlineStr">
        <is>
          <t>VÄSTRA GÖTALANDS LÄN</t>
        </is>
      </c>
      <c r="E7476" t="inlineStr">
        <is>
          <t>VÄNERSBORG</t>
        </is>
      </c>
      <c r="G7476" t="n">
        <v>12.1</v>
      </c>
      <c r="H7476" t="n">
        <v>0</v>
      </c>
      <c r="I7476" t="n">
        <v>0</v>
      </c>
      <c r="J7476" t="n">
        <v>0</v>
      </c>
      <c r="K7476" t="n">
        <v>0</v>
      </c>
      <c r="L7476" t="n">
        <v>0</v>
      </c>
      <c r="M7476" t="n">
        <v>0</v>
      </c>
      <c r="N7476" t="n">
        <v>0</v>
      </c>
      <c r="O7476" t="n">
        <v>0</v>
      </c>
      <c r="P7476" t="n">
        <v>0</v>
      </c>
      <c r="Q7476" t="n">
        <v>0</v>
      </c>
      <c r="R7476" s="2" t="inlineStr"/>
    </row>
    <row r="7477" ht="15" customHeight="1">
      <c r="A7477" t="inlineStr">
        <is>
          <t>A 7771-2025</t>
        </is>
      </c>
      <c r="B7477" s="1" t="n">
        <v>45706.56320601852</v>
      </c>
      <c r="C7477" s="1" t="n">
        <v>46011</v>
      </c>
      <c r="D7477" t="inlineStr">
        <is>
          <t>VÄSTRA GÖTALANDS LÄN</t>
        </is>
      </c>
      <c r="E7477" t="inlineStr">
        <is>
          <t>MARIESTAD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9282-2025</t>
        </is>
      </c>
      <c r="B7478" s="1" t="n">
        <v>45714.64293981482</v>
      </c>
      <c r="C7478" s="1" t="n">
        <v>46011</v>
      </c>
      <c r="D7478" t="inlineStr">
        <is>
          <t>VÄSTRA GÖTALANDS LÄN</t>
        </is>
      </c>
      <c r="E7478" t="inlineStr">
        <is>
          <t>STENUNGSUND</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28884-2025</t>
        </is>
      </c>
      <c r="B7479" s="1" t="n">
        <v>45820.62710648148</v>
      </c>
      <c r="C7479" s="1" t="n">
        <v>46011</v>
      </c>
      <c r="D7479" t="inlineStr">
        <is>
          <t>VÄSTRA GÖTALANDS LÄN</t>
        </is>
      </c>
      <c r="E7479" t="inlineStr">
        <is>
          <t>TROLLHÄTTAN</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22728-2025</t>
        </is>
      </c>
      <c r="B7480" s="1" t="n">
        <v>45789.57516203704</v>
      </c>
      <c r="C7480" s="1" t="n">
        <v>46011</v>
      </c>
      <c r="D7480" t="inlineStr">
        <is>
          <t>VÄSTRA GÖTALANDS LÄN</t>
        </is>
      </c>
      <c r="E7480" t="inlineStr">
        <is>
          <t>STENUNGSUND</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11089-2023</t>
        </is>
      </c>
      <c r="B7481" s="1" t="n">
        <v>44986</v>
      </c>
      <c r="C7481" s="1" t="n">
        <v>46011</v>
      </c>
      <c r="D7481" t="inlineStr">
        <is>
          <t>VÄSTRA GÖTALANDS LÄN</t>
        </is>
      </c>
      <c r="E7481" t="inlineStr">
        <is>
          <t>MARIESTAD</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16745-2024</t>
        </is>
      </c>
      <c r="B7482" s="1" t="n">
        <v>45411.21890046296</v>
      </c>
      <c r="C7482" s="1" t="n">
        <v>46011</v>
      </c>
      <c r="D7482" t="inlineStr">
        <is>
          <t>VÄSTRA GÖTALANDS LÄN</t>
        </is>
      </c>
      <c r="E7482" t="inlineStr">
        <is>
          <t>ULRICEHAMN</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16746-2024</t>
        </is>
      </c>
      <c r="B7483" s="1" t="n">
        <v>45411.22457175926</v>
      </c>
      <c r="C7483" s="1" t="n">
        <v>46011</v>
      </c>
      <c r="D7483" t="inlineStr">
        <is>
          <t>VÄSTRA GÖTALANDS LÄN</t>
        </is>
      </c>
      <c r="E7483" t="inlineStr">
        <is>
          <t>ULRICEHAMN</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48479-2025</t>
        </is>
      </c>
      <c r="B7484" s="1" t="n">
        <v>45936.35118055555</v>
      </c>
      <c r="C7484" s="1" t="n">
        <v>46011</v>
      </c>
      <c r="D7484" t="inlineStr">
        <is>
          <t>VÄSTRA GÖTALANDS LÄN</t>
        </is>
      </c>
      <c r="E7484" t="inlineStr">
        <is>
          <t>FÄRGELANDA</t>
        </is>
      </c>
      <c r="F7484" t="inlineStr">
        <is>
          <t>Kommuner</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36402-2025</t>
        </is>
      </c>
      <c r="B7485" s="1" t="n">
        <v>45868.65326388889</v>
      </c>
      <c r="C7485" s="1" t="n">
        <v>46011</v>
      </c>
      <c r="D7485" t="inlineStr">
        <is>
          <t>VÄSTRA GÖTALANDS LÄN</t>
        </is>
      </c>
      <c r="E7485" t="inlineStr">
        <is>
          <t>BORÅS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43167-2025</t>
        </is>
      </c>
      <c r="B7486" s="1" t="n">
        <v>45910.38482638889</v>
      </c>
      <c r="C7486" s="1" t="n">
        <v>46011</v>
      </c>
      <c r="D7486" t="inlineStr">
        <is>
          <t>VÄSTRA GÖTALANDS LÄN</t>
        </is>
      </c>
      <c r="E7486" t="inlineStr">
        <is>
          <t>SVENLJUNGA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17131-2025</t>
        </is>
      </c>
      <c r="B7487" s="1" t="n">
        <v>45755.74113425926</v>
      </c>
      <c r="C7487" s="1" t="n">
        <v>46011</v>
      </c>
      <c r="D7487" t="inlineStr">
        <is>
          <t>VÄSTRA GÖTALANDS LÄN</t>
        </is>
      </c>
      <c r="E7487" t="inlineStr">
        <is>
          <t>UDDEVALLA</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36305-2025</t>
        </is>
      </c>
      <c r="B7488" s="1" t="n">
        <v>45868.00584490741</v>
      </c>
      <c r="C7488" s="1" t="n">
        <v>46011</v>
      </c>
      <c r="D7488" t="inlineStr">
        <is>
          <t>VÄSTRA GÖTALANDS LÄN</t>
        </is>
      </c>
      <c r="E7488" t="inlineStr">
        <is>
          <t>ULRICEHAMN</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23710-2024</t>
        </is>
      </c>
      <c r="B7489" s="1" t="n">
        <v>45454</v>
      </c>
      <c r="C7489" s="1" t="n">
        <v>46011</v>
      </c>
      <c r="D7489" t="inlineStr">
        <is>
          <t>VÄSTRA GÖTALANDS LÄN</t>
        </is>
      </c>
      <c r="E7489" t="inlineStr">
        <is>
          <t>FALKÖPING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13669-2023</t>
        </is>
      </c>
      <c r="B7490" s="1" t="n">
        <v>45006</v>
      </c>
      <c r="C7490" s="1" t="n">
        <v>46011</v>
      </c>
      <c r="D7490" t="inlineStr">
        <is>
          <t>VÄSTRA GÖTALANDS LÄN</t>
        </is>
      </c>
      <c r="E7490" t="inlineStr">
        <is>
          <t>SKÖVDE</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20722-2023</t>
        </is>
      </c>
      <c r="B7491" s="1" t="n">
        <v>45058</v>
      </c>
      <c r="C7491" s="1" t="n">
        <v>46011</v>
      </c>
      <c r="D7491" t="inlineStr">
        <is>
          <t>VÄSTRA GÖTALANDS LÄN</t>
        </is>
      </c>
      <c r="E7491" t="inlineStr">
        <is>
          <t>BORÅS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66107-2021</t>
        </is>
      </c>
      <c r="B7492" s="1" t="n">
        <v>44517.71121527778</v>
      </c>
      <c r="C7492" s="1" t="n">
        <v>46011</v>
      </c>
      <c r="D7492" t="inlineStr">
        <is>
          <t>VÄSTRA GÖTALANDS LÄN</t>
        </is>
      </c>
      <c r="E7492" t="inlineStr">
        <is>
          <t>LERUM</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6341-2025</t>
        </is>
      </c>
      <c r="B7493" s="1" t="n">
        <v>45699.31804398148</v>
      </c>
      <c r="C7493" s="1" t="n">
        <v>46011</v>
      </c>
      <c r="D7493" t="inlineStr">
        <is>
          <t>VÄSTRA GÖTALANDS LÄN</t>
        </is>
      </c>
      <c r="E7493" t="inlineStr">
        <is>
          <t>ALINGSÅS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48324-2025</t>
        </is>
      </c>
      <c r="B7494" s="1" t="n">
        <v>45933.62864583333</v>
      </c>
      <c r="C7494" s="1" t="n">
        <v>46011</v>
      </c>
      <c r="D7494" t="inlineStr">
        <is>
          <t>VÄSTRA GÖTALANDS LÄN</t>
        </is>
      </c>
      <c r="E7494" t="inlineStr">
        <is>
          <t>GULLSPÅNG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36756-2022</t>
        </is>
      </c>
      <c r="B7495" s="1" t="n">
        <v>44805</v>
      </c>
      <c r="C7495" s="1" t="n">
        <v>46011</v>
      </c>
      <c r="D7495" t="inlineStr">
        <is>
          <t>VÄSTRA GÖTALANDS LÄN</t>
        </is>
      </c>
      <c r="E7495" t="inlineStr">
        <is>
          <t>LERUM</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7674-2023</t>
        </is>
      </c>
      <c r="B7496" s="1" t="n">
        <v>44972.69076388889</v>
      </c>
      <c r="C7496" s="1" t="n">
        <v>46011</v>
      </c>
      <c r="D7496" t="inlineStr">
        <is>
          <t>VÄSTRA GÖTALANDS LÄN</t>
        </is>
      </c>
      <c r="E7496" t="inlineStr">
        <is>
          <t>TANUM</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11218-2021</t>
        </is>
      </c>
      <c r="B7497" s="1" t="n">
        <v>44263</v>
      </c>
      <c r="C7497" s="1" t="n">
        <v>46011</v>
      </c>
      <c r="D7497" t="inlineStr">
        <is>
          <t>VÄSTRA GÖTALANDS LÄN</t>
        </is>
      </c>
      <c r="E7497" t="inlineStr">
        <is>
          <t>TRANEMO</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37942-2023</t>
        </is>
      </c>
      <c r="B7498" s="1" t="n">
        <v>45160.54385416667</v>
      </c>
      <c r="C7498" s="1" t="n">
        <v>46011</v>
      </c>
      <c r="D7498" t="inlineStr">
        <is>
          <t>VÄSTRA GÖTALANDS LÄN</t>
        </is>
      </c>
      <c r="E7498" t="inlineStr">
        <is>
          <t>SVENLJUNGA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1566-2022</t>
        </is>
      </c>
      <c r="B7499" s="1" t="n">
        <v>44573</v>
      </c>
      <c r="C7499" s="1" t="n">
        <v>46011</v>
      </c>
      <c r="D7499" t="inlineStr">
        <is>
          <t>VÄSTRA GÖTALANDS LÄN</t>
        </is>
      </c>
      <c r="E7499" t="inlineStr">
        <is>
          <t>ALE</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3884-2022</t>
        </is>
      </c>
      <c r="B7500" s="1" t="n">
        <v>44587.46003472222</v>
      </c>
      <c r="C7500" s="1" t="n">
        <v>46011</v>
      </c>
      <c r="D7500" t="inlineStr">
        <is>
          <t>VÄSTRA GÖTALANDS LÄN</t>
        </is>
      </c>
      <c r="E7500" t="inlineStr">
        <is>
          <t>VÄNERSBORG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57186-2022</t>
        </is>
      </c>
      <c r="B7501" s="1" t="n">
        <v>44895</v>
      </c>
      <c r="C7501" s="1" t="n">
        <v>46011</v>
      </c>
      <c r="D7501" t="inlineStr">
        <is>
          <t>VÄSTRA GÖTALANDS LÄN</t>
        </is>
      </c>
      <c r="E7501" t="inlineStr">
        <is>
          <t>LERUM</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56744-2023</t>
        </is>
      </c>
      <c r="B7502" s="1" t="n">
        <v>45244.36306712963</v>
      </c>
      <c r="C7502" s="1" t="n">
        <v>46011</v>
      </c>
      <c r="D7502" t="inlineStr">
        <is>
          <t>VÄSTRA GÖTALANDS LÄN</t>
        </is>
      </c>
      <c r="E7502" t="inlineStr">
        <is>
          <t>MUNKEDAL</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48358-2025</t>
        </is>
      </c>
      <c r="B7503" s="1" t="n">
        <v>45933</v>
      </c>
      <c r="C7503" s="1" t="n">
        <v>46011</v>
      </c>
      <c r="D7503" t="inlineStr">
        <is>
          <t>VÄSTRA GÖTALANDS LÄN</t>
        </is>
      </c>
      <c r="E7503" t="inlineStr">
        <is>
          <t>ULRICEHAMN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48359-2025</t>
        </is>
      </c>
      <c r="B7504" s="1" t="n">
        <v>45933.66196759259</v>
      </c>
      <c r="C7504" s="1" t="n">
        <v>46011</v>
      </c>
      <c r="D7504" t="inlineStr">
        <is>
          <t>VÄSTRA GÖTALANDS LÄN</t>
        </is>
      </c>
      <c r="E7504" t="inlineStr">
        <is>
          <t>HJO</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4327-2023</t>
        </is>
      </c>
      <c r="B7505" s="1" t="n">
        <v>44953</v>
      </c>
      <c r="C7505" s="1" t="n">
        <v>46011</v>
      </c>
      <c r="D7505" t="inlineStr">
        <is>
          <t>VÄSTRA GÖTALANDS LÄN</t>
        </is>
      </c>
      <c r="E7505" t="inlineStr">
        <is>
          <t>BENGTSFORS</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48386-2025</t>
        </is>
      </c>
      <c r="B7506" s="1" t="n">
        <v>45933.85197916667</v>
      </c>
      <c r="C7506" s="1" t="n">
        <v>46011</v>
      </c>
      <c r="D7506" t="inlineStr">
        <is>
          <t>VÄSTRA GÖTALANDS LÄN</t>
        </is>
      </c>
      <c r="E7506" t="inlineStr">
        <is>
          <t>KARLSBORG</t>
        </is>
      </c>
      <c r="F7506" t="inlineStr">
        <is>
          <t>Sveaskog</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4362-2023</t>
        </is>
      </c>
      <c r="B7507" s="1" t="n">
        <v>44954</v>
      </c>
      <c r="C7507" s="1" t="n">
        <v>46011</v>
      </c>
      <c r="D7507" t="inlineStr">
        <is>
          <t>VÄSTRA GÖTALANDS LÄN</t>
        </is>
      </c>
      <c r="E7507" t="inlineStr">
        <is>
          <t>TANUM</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66391-2021</t>
        </is>
      </c>
      <c r="B7508" s="1" t="n">
        <v>44518</v>
      </c>
      <c r="C7508" s="1" t="n">
        <v>46011</v>
      </c>
      <c r="D7508" t="inlineStr">
        <is>
          <t>VÄSTRA GÖTALANDS LÄN</t>
        </is>
      </c>
      <c r="E7508" t="inlineStr">
        <is>
          <t>BENGTSFORS</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35042-2023</t>
        </is>
      </c>
      <c r="B7509" s="1" t="n">
        <v>45142</v>
      </c>
      <c r="C7509" s="1" t="n">
        <v>46011</v>
      </c>
      <c r="D7509" t="inlineStr">
        <is>
          <t>VÄSTRA GÖTALANDS LÄN</t>
        </is>
      </c>
      <c r="E7509" t="inlineStr">
        <is>
          <t>VARA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16509-2025</t>
        </is>
      </c>
      <c r="B7510" s="1" t="n">
        <v>45751.61958333333</v>
      </c>
      <c r="C7510" s="1" t="n">
        <v>46011</v>
      </c>
      <c r="D7510" t="inlineStr">
        <is>
          <t>VÄSTRA GÖTALANDS LÄN</t>
        </is>
      </c>
      <c r="E7510" t="inlineStr">
        <is>
          <t>HÄRRYDA</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60468-2024</t>
        </is>
      </c>
      <c r="B7511" s="1" t="n">
        <v>45643.62467592592</v>
      </c>
      <c r="C7511" s="1" t="n">
        <v>46011</v>
      </c>
      <c r="D7511" t="inlineStr">
        <is>
          <t>VÄSTRA GÖTALANDS LÄN</t>
        </is>
      </c>
      <c r="E7511" t="inlineStr">
        <is>
          <t>FÄRGELANDA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56796-2025</t>
        </is>
      </c>
      <c r="B7512" s="1" t="n">
        <v>45978.43127314815</v>
      </c>
      <c r="C7512" s="1" t="n">
        <v>46011</v>
      </c>
      <c r="D7512" t="inlineStr">
        <is>
          <t>VÄSTRA GÖTALANDS LÄN</t>
        </is>
      </c>
      <c r="E7512" t="inlineStr">
        <is>
          <t>MARK</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56898-2025</t>
        </is>
      </c>
      <c r="B7513" s="1" t="n">
        <v>45978.57170138889</v>
      </c>
      <c r="C7513" s="1" t="n">
        <v>46011</v>
      </c>
      <c r="D7513" t="inlineStr">
        <is>
          <t>VÄSTRA GÖTALANDS LÄN</t>
        </is>
      </c>
      <c r="E7513" t="inlineStr">
        <is>
          <t>BENGTSFORS</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48099-2025</t>
        </is>
      </c>
      <c r="B7514" s="1" t="n">
        <v>45933.33207175926</v>
      </c>
      <c r="C7514" s="1" t="n">
        <v>46011</v>
      </c>
      <c r="D7514" t="inlineStr">
        <is>
          <t>VÄSTRA GÖTALANDS LÄN</t>
        </is>
      </c>
      <c r="E7514" t="inlineStr">
        <is>
          <t>VÅRGÅRDA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33300-2023</t>
        </is>
      </c>
      <c r="B7515" s="1" t="n">
        <v>45116</v>
      </c>
      <c r="C7515" s="1" t="n">
        <v>46011</v>
      </c>
      <c r="D7515" t="inlineStr">
        <is>
          <t>VÄSTRA GÖTALANDS LÄN</t>
        </is>
      </c>
      <c r="E7515" t="inlineStr">
        <is>
          <t>VARA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33301-2023</t>
        </is>
      </c>
      <c r="B7516" s="1" t="n">
        <v>45116</v>
      </c>
      <c r="C7516" s="1" t="n">
        <v>46011</v>
      </c>
      <c r="D7516" t="inlineStr">
        <is>
          <t>VÄSTRA GÖTALANDS LÄN</t>
        </is>
      </c>
      <c r="E7516" t="inlineStr">
        <is>
          <t>VARA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36163-2025</t>
        </is>
      </c>
      <c r="B7517" s="1" t="n">
        <v>45867.36799768519</v>
      </c>
      <c r="C7517" s="1" t="n">
        <v>46011</v>
      </c>
      <c r="D7517" t="inlineStr">
        <is>
          <t>VÄSTRA GÖTALANDS LÄN</t>
        </is>
      </c>
      <c r="E7517" t="inlineStr">
        <is>
          <t>TIDAHOLM</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36242-2025</t>
        </is>
      </c>
      <c r="B7518" s="1" t="n">
        <v>45867.55393518518</v>
      </c>
      <c r="C7518" s="1" t="n">
        <v>46011</v>
      </c>
      <c r="D7518" t="inlineStr">
        <is>
          <t>VÄSTRA GÖTALANDS LÄN</t>
        </is>
      </c>
      <c r="E7518" t="inlineStr">
        <is>
          <t>SVENLJUNGA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59960-2024</t>
        </is>
      </c>
      <c r="B7519" s="1" t="n">
        <v>45642</v>
      </c>
      <c r="C7519" s="1" t="n">
        <v>46011</v>
      </c>
      <c r="D7519" t="inlineStr">
        <is>
          <t>VÄSTRA GÖTALANDS LÄN</t>
        </is>
      </c>
      <c r="E7519" t="inlineStr">
        <is>
          <t>FÄRGELANDA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59964-2024</t>
        </is>
      </c>
      <c r="B7520" s="1" t="n">
        <v>45642.35320601852</v>
      </c>
      <c r="C7520" s="1" t="n">
        <v>46011</v>
      </c>
      <c r="D7520" t="inlineStr">
        <is>
          <t>VÄSTRA GÖTALANDS LÄN</t>
        </is>
      </c>
      <c r="E7520" t="inlineStr">
        <is>
          <t>FÄRGELANDA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36145-2025</t>
        </is>
      </c>
      <c r="B7521" s="1" t="n">
        <v>45866.84422453704</v>
      </c>
      <c r="C7521" s="1" t="n">
        <v>46011</v>
      </c>
      <c r="D7521" t="inlineStr">
        <is>
          <t>VÄSTRA GÖTALANDS LÄN</t>
        </is>
      </c>
      <c r="E7521" t="inlineStr">
        <is>
          <t>MELLERUD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36146-2025</t>
        </is>
      </c>
      <c r="B7522" s="1" t="n">
        <v>45866.8474074074</v>
      </c>
      <c r="C7522" s="1" t="n">
        <v>46011</v>
      </c>
      <c r="D7522" t="inlineStr">
        <is>
          <t>VÄSTRA GÖTALANDS LÄN</t>
        </is>
      </c>
      <c r="E7522" t="inlineStr">
        <is>
          <t>MELLERUD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55593-2025</t>
        </is>
      </c>
      <c r="B7523" s="1" t="n">
        <v>45971</v>
      </c>
      <c r="C7523" s="1" t="n">
        <v>46011</v>
      </c>
      <c r="D7523" t="inlineStr">
        <is>
          <t>VÄSTRA GÖTALANDS LÄN</t>
        </is>
      </c>
      <c r="E7523" t="inlineStr">
        <is>
          <t>TÖREBODA</t>
        </is>
      </c>
      <c r="G7523" t="n">
        <v>20.8</v>
      </c>
      <c r="H7523" t="n">
        <v>0</v>
      </c>
      <c r="I7523" t="n">
        <v>0</v>
      </c>
      <c r="J7523" t="n">
        <v>0</v>
      </c>
      <c r="K7523" t="n">
        <v>0</v>
      </c>
      <c r="L7523" t="n">
        <v>0</v>
      </c>
      <c r="M7523" t="n">
        <v>0</v>
      </c>
      <c r="N7523" t="n">
        <v>0</v>
      </c>
      <c r="O7523" t="n">
        <v>0</v>
      </c>
      <c r="P7523" t="n">
        <v>0</v>
      </c>
      <c r="Q7523" t="n">
        <v>0</v>
      </c>
      <c r="R7523" s="2" t="inlineStr"/>
    </row>
    <row r="7524" ht="15" customHeight="1">
      <c r="A7524" t="inlineStr">
        <is>
          <t>A 56715-2025</t>
        </is>
      </c>
      <c r="B7524" s="1" t="n">
        <v>45975</v>
      </c>
      <c r="C7524" s="1" t="n">
        <v>46011</v>
      </c>
      <c r="D7524" t="inlineStr">
        <is>
          <t>VÄSTRA GÖTALANDS LÄN</t>
        </is>
      </c>
      <c r="E7524" t="inlineStr">
        <is>
          <t>FÄRGELANDA</t>
        </is>
      </c>
      <c r="F7524" t="inlineStr">
        <is>
          <t>Övriga Aktiebolag</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56716-2025</t>
        </is>
      </c>
      <c r="B7525" s="1" t="n">
        <v>45975</v>
      </c>
      <c r="C7525" s="1" t="n">
        <v>46011</v>
      </c>
      <c r="D7525" t="inlineStr">
        <is>
          <t>VÄSTRA GÖTALANDS LÄN</t>
        </is>
      </c>
      <c r="E7525" t="inlineStr">
        <is>
          <t>FÄRGELANDA</t>
        </is>
      </c>
      <c r="F7525" t="inlineStr">
        <is>
          <t>Övriga Aktiebolag</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32025-2023</t>
        </is>
      </c>
      <c r="B7526" s="1" t="n">
        <v>45119.50736111111</v>
      </c>
      <c r="C7526" s="1" t="n">
        <v>46011</v>
      </c>
      <c r="D7526" t="inlineStr">
        <is>
          <t>VÄSTRA GÖTALANDS LÄN</t>
        </is>
      </c>
      <c r="E7526" t="inlineStr">
        <is>
          <t>BORÅS</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32027-2023</t>
        </is>
      </c>
      <c r="B7527" s="1" t="n">
        <v>45119.51900462963</v>
      </c>
      <c r="C7527" s="1" t="n">
        <v>46011</v>
      </c>
      <c r="D7527" t="inlineStr">
        <is>
          <t>VÄSTRA GÖTALANDS LÄN</t>
        </is>
      </c>
      <c r="E7527" t="inlineStr">
        <is>
          <t>BORÅS</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32037-2023</t>
        </is>
      </c>
      <c r="B7528" s="1" t="n">
        <v>45119.54206018519</v>
      </c>
      <c r="C7528" s="1" t="n">
        <v>46011</v>
      </c>
      <c r="D7528" t="inlineStr">
        <is>
          <t>VÄSTRA GÖTALANDS LÄN</t>
        </is>
      </c>
      <c r="E7528" t="inlineStr">
        <is>
          <t>ÅMÅL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56855-2025</t>
        </is>
      </c>
      <c r="B7529" s="1" t="n">
        <v>45978.4962962963</v>
      </c>
      <c r="C7529" s="1" t="n">
        <v>46011</v>
      </c>
      <c r="D7529" t="inlineStr">
        <is>
          <t>VÄSTRA GÖTALANDS LÄN</t>
        </is>
      </c>
      <c r="E7529" t="inlineStr">
        <is>
          <t>LILLA EDET</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56858-2025</t>
        </is>
      </c>
      <c r="B7530" s="1" t="n">
        <v>45978.50188657407</v>
      </c>
      <c r="C7530" s="1" t="n">
        <v>46011</v>
      </c>
      <c r="D7530" t="inlineStr">
        <is>
          <t>VÄSTRA GÖTALANDS LÄN</t>
        </is>
      </c>
      <c r="E7530" t="inlineStr">
        <is>
          <t>MARK</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6826-2021</t>
        </is>
      </c>
      <c r="B7531" s="1" t="n">
        <v>44237</v>
      </c>
      <c r="C7531" s="1" t="n">
        <v>46011</v>
      </c>
      <c r="D7531" t="inlineStr">
        <is>
          <t>VÄSTRA GÖTALANDS LÄN</t>
        </is>
      </c>
      <c r="E7531" t="inlineStr">
        <is>
          <t>DALS-ED</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48538-2025</t>
        </is>
      </c>
      <c r="B7532" s="1" t="n">
        <v>45936.41079861111</v>
      </c>
      <c r="C7532" s="1" t="n">
        <v>46011</v>
      </c>
      <c r="D7532" t="inlineStr">
        <is>
          <t>VÄSTRA GÖTALANDS LÄN</t>
        </is>
      </c>
      <c r="E7532" t="inlineStr">
        <is>
          <t>HÄRRYDA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6974-2025</t>
        </is>
      </c>
      <c r="B7533" s="1" t="n">
        <v>45701.54447916667</v>
      </c>
      <c r="C7533" s="1" t="n">
        <v>46011</v>
      </c>
      <c r="D7533" t="inlineStr">
        <is>
          <t>VÄSTRA GÖTALANDS LÄN</t>
        </is>
      </c>
      <c r="E7533" t="inlineStr">
        <is>
          <t>VARA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57766-2024</t>
        </is>
      </c>
      <c r="B7534" s="1" t="n">
        <v>45630.87388888889</v>
      </c>
      <c r="C7534" s="1" t="n">
        <v>46011</v>
      </c>
      <c r="D7534" t="inlineStr">
        <is>
          <t>VÄSTRA GÖTALANDS LÄN</t>
        </is>
      </c>
      <c r="E7534" t="inlineStr">
        <is>
          <t>STENUNGSUND</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57767-2024</t>
        </is>
      </c>
      <c r="B7535" s="1" t="n">
        <v>45630.87564814815</v>
      </c>
      <c r="C7535" s="1" t="n">
        <v>46011</v>
      </c>
      <c r="D7535" t="inlineStr">
        <is>
          <t>VÄSTRA GÖTALANDS LÄN</t>
        </is>
      </c>
      <c r="E7535" t="inlineStr">
        <is>
          <t>STENUNGSUND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57769-2024</t>
        </is>
      </c>
      <c r="B7536" s="1" t="n">
        <v>45630.88071759259</v>
      </c>
      <c r="C7536" s="1" t="n">
        <v>46011</v>
      </c>
      <c r="D7536" t="inlineStr">
        <is>
          <t>VÄSTRA GÖTALANDS LÄN</t>
        </is>
      </c>
      <c r="E7536" t="inlineStr">
        <is>
          <t>STENUNGSUND</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48032-2025</t>
        </is>
      </c>
      <c r="B7537" s="1" t="n">
        <v>45932</v>
      </c>
      <c r="C7537" s="1" t="n">
        <v>46011</v>
      </c>
      <c r="D7537" t="inlineStr">
        <is>
          <t>VÄSTRA GÖTALANDS LÄN</t>
        </is>
      </c>
      <c r="E7537" t="inlineStr">
        <is>
          <t>DALS-ED</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36201-2025</t>
        </is>
      </c>
      <c r="B7538" s="1" t="n">
        <v>45867.44418981481</v>
      </c>
      <c r="C7538" s="1" t="n">
        <v>46011</v>
      </c>
      <c r="D7538" t="inlineStr">
        <is>
          <t>VÄSTRA GÖTALANDS LÄN</t>
        </is>
      </c>
      <c r="E7538" t="inlineStr">
        <is>
          <t>LIDKÖPING</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36405-2025</t>
        </is>
      </c>
      <c r="B7539" s="1" t="n">
        <v>45868.66825231481</v>
      </c>
      <c r="C7539" s="1" t="n">
        <v>46011</v>
      </c>
      <c r="D7539" t="inlineStr">
        <is>
          <t>VÄSTRA GÖTALANDS LÄN</t>
        </is>
      </c>
      <c r="E7539" t="inlineStr">
        <is>
          <t>SVENLJUNGA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36407-2025</t>
        </is>
      </c>
      <c r="B7540" s="1" t="n">
        <v>45868.67938657408</v>
      </c>
      <c r="C7540" s="1" t="n">
        <v>46011</v>
      </c>
      <c r="D7540" t="inlineStr">
        <is>
          <t>VÄSTRA GÖTALANDS LÄN</t>
        </is>
      </c>
      <c r="E7540" t="inlineStr">
        <is>
          <t>HJO</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17685-2021</t>
        </is>
      </c>
      <c r="B7541" s="1" t="n">
        <v>44300</v>
      </c>
      <c r="C7541" s="1" t="n">
        <v>46011</v>
      </c>
      <c r="D7541" t="inlineStr">
        <is>
          <t>VÄSTRA GÖTALANDS LÄN</t>
        </is>
      </c>
      <c r="E7541" t="inlineStr">
        <is>
          <t>MARIESTAD</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46294-2023</t>
        </is>
      </c>
      <c r="B7542" s="1" t="n">
        <v>45197</v>
      </c>
      <c r="C7542" s="1" t="n">
        <v>46011</v>
      </c>
      <c r="D7542" t="inlineStr">
        <is>
          <t>VÄSTRA GÖTALANDS LÄN</t>
        </is>
      </c>
      <c r="E7542" t="inlineStr">
        <is>
          <t>TANUM</t>
        </is>
      </c>
      <c r="G7542" t="n">
        <v>1.1</v>
      </c>
      <c r="H7542" t="n">
        <v>0</v>
      </c>
      <c r="I7542" t="n">
        <v>0</v>
      </c>
      <c r="J7542" t="n">
        <v>0</v>
      </c>
      <c r="K7542" t="n">
        <v>0</v>
      </c>
      <c r="L7542" t="n">
        <v>0</v>
      </c>
      <c r="M7542" t="n">
        <v>0</v>
      </c>
      <c r="N7542" t="n">
        <v>0</v>
      </c>
      <c r="O7542" t="n">
        <v>0</v>
      </c>
      <c r="P7542" t="n">
        <v>0</v>
      </c>
      <c r="Q7542" t="n">
        <v>0</v>
      </c>
      <c r="R7542" s="2" t="inlineStr"/>
      <c r="U7542">
        <f>HYPERLINK("https://klasma.github.io/Logging_1435/knärot/A 46294-2023 karta knärot.png", "A 46294-2023")</f>
        <v/>
      </c>
      <c r="V7542">
        <f>HYPERLINK("https://klasma.github.io/Logging_1435/klagomål/A 46294-2023 FSC-klagomål.docx", "A 46294-2023")</f>
        <v/>
      </c>
      <c r="W7542">
        <f>HYPERLINK("https://klasma.github.io/Logging_1435/klagomålsmail/A 46294-2023 FSC-klagomål mail.docx", "A 46294-2023")</f>
        <v/>
      </c>
      <c r="X7542">
        <f>HYPERLINK("https://klasma.github.io/Logging_1435/tillsyn/A 46294-2023 tillsynsbegäran.docx", "A 46294-2023")</f>
        <v/>
      </c>
      <c r="Y7542">
        <f>HYPERLINK("https://klasma.github.io/Logging_1435/tillsynsmail/A 46294-2023 tillsynsbegäran mail.docx", "A 46294-2023")</f>
        <v/>
      </c>
    </row>
    <row r="7543" ht="15" customHeight="1">
      <c r="A7543" t="inlineStr">
        <is>
          <t>A 48271-2025</t>
        </is>
      </c>
      <c r="B7543" s="1" t="n">
        <v>45933.57299768519</v>
      </c>
      <c r="C7543" s="1" t="n">
        <v>46011</v>
      </c>
      <c r="D7543" t="inlineStr">
        <is>
          <t>VÄSTRA GÖTALANDS LÄN</t>
        </is>
      </c>
      <c r="E7543" t="inlineStr">
        <is>
          <t>SVENLJUNGA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60241-2024</t>
        </is>
      </c>
      <c r="B7544" s="1" t="n">
        <v>45642</v>
      </c>
      <c r="C7544" s="1" t="n">
        <v>46011</v>
      </c>
      <c r="D7544" t="inlineStr">
        <is>
          <t>VÄSTRA GÖTALANDS LÄN</t>
        </is>
      </c>
      <c r="E7544" t="inlineStr">
        <is>
          <t>UDDEVALLA</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36260-2025</t>
        </is>
      </c>
      <c r="B7545" s="1" t="n">
        <v>45867.59960648148</v>
      </c>
      <c r="C7545" s="1" t="n">
        <v>46011</v>
      </c>
      <c r="D7545" t="inlineStr">
        <is>
          <t>VÄSTRA GÖTALANDS LÄN</t>
        </is>
      </c>
      <c r="E7545" t="inlineStr">
        <is>
          <t>BORÅS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36268-2025</t>
        </is>
      </c>
      <c r="B7546" s="1" t="n">
        <v>45867.61729166667</v>
      </c>
      <c r="C7546" s="1" t="n">
        <v>46011</v>
      </c>
      <c r="D7546" t="inlineStr">
        <is>
          <t>VÄSTRA GÖTALANDS LÄN</t>
        </is>
      </c>
      <c r="E7546" t="inlineStr">
        <is>
          <t>MARK</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383-2021</t>
        </is>
      </c>
      <c r="B7547" s="1" t="n">
        <v>44201</v>
      </c>
      <c r="C7547" s="1" t="n">
        <v>46011</v>
      </c>
      <c r="D7547" t="inlineStr">
        <is>
          <t>VÄSTRA GÖTALANDS LÄN</t>
        </is>
      </c>
      <c r="E7547" t="inlineStr">
        <is>
          <t>ULRICEHAMN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415-2021</t>
        </is>
      </c>
      <c r="B7548" s="1" t="n">
        <v>44201</v>
      </c>
      <c r="C7548" s="1" t="n">
        <v>46011</v>
      </c>
      <c r="D7548" t="inlineStr">
        <is>
          <t>VÄSTRA GÖTALANDS LÄN</t>
        </is>
      </c>
      <c r="E7548" t="inlineStr">
        <is>
          <t>TANUM</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36219-2025</t>
        </is>
      </c>
      <c r="B7549" s="1" t="n">
        <v>45867</v>
      </c>
      <c r="C7549" s="1" t="n">
        <v>46011</v>
      </c>
      <c r="D7549" t="inlineStr">
        <is>
          <t>VÄSTRA GÖTALANDS LÄN</t>
        </is>
      </c>
      <c r="E7549" t="inlineStr">
        <is>
          <t>BENGTSFORS</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4262-2024</t>
        </is>
      </c>
      <c r="B7550" s="1" t="n">
        <v>45324.50902777778</v>
      </c>
      <c r="C7550" s="1" t="n">
        <v>46011</v>
      </c>
      <c r="D7550" t="inlineStr">
        <is>
          <t>VÄSTRA GÖTALANDS LÄN</t>
        </is>
      </c>
      <c r="E7550" t="inlineStr">
        <is>
          <t>KUNGÄLV</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18227-2025</t>
        </is>
      </c>
      <c r="B7551" s="1" t="n">
        <v>45761.80167824074</v>
      </c>
      <c r="C7551" s="1" t="n">
        <v>46011</v>
      </c>
      <c r="D7551" t="inlineStr">
        <is>
          <t>VÄSTRA GÖTALANDS LÄN</t>
        </is>
      </c>
      <c r="E7551" t="inlineStr">
        <is>
          <t>UDDEVALLA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18228-2025</t>
        </is>
      </c>
      <c r="B7552" s="1" t="n">
        <v>45761.83359953704</v>
      </c>
      <c r="C7552" s="1" t="n">
        <v>46011</v>
      </c>
      <c r="D7552" t="inlineStr">
        <is>
          <t>VÄSTRA GÖTALANDS LÄN</t>
        </is>
      </c>
      <c r="E7552" t="inlineStr">
        <is>
          <t>DALS-ED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7272-2023</t>
        </is>
      </c>
      <c r="B7553" s="1" t="n">
        <v>44970.65201388889</v>
      </c>
      <c r="C7553" s="1" t="n">
        <v>46011</v>
      </c>
      <c r="D7553" t="inlineStr">
        <is>
          <t>VÄSTRA GÖTALANDS LÄN</t>
        </is>
      </c>
      <c r="E7553" t="inlineStr">
        <is>
          <t>LERUM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36181-2025</t>
        </is>
      </c>
      <c r="B7554" s="1" t="n">
        <v>45867</v>
      </c>
      <c r="C7554" s="1" t="n">
        <v>46011</v>
      </c>
      <c r="D7554" t="inlineStr">
        <is>
          <t>VÄSTRA GÖTALANDS LÄN</t>
        </is>
      </c>
      <c r="E7554" t="inlineStr">
        <is>
          <t>FALKÖPING</t>
        </is>
      </c>
      <c r="G7554" t="n">
        <v>8.699999999999999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36208-2025</t>
        </is>
      </c>
      <c r="B7555" s="1" t="n">
        <v>45867.46184027778</v>
      </c>
      <c r="C7555" s="1" t="n">
        <v>46011</v>
      </c>
      <c r="D7555" t="inlineStr">
        <is>
          <t>VÄSTRA GÖTALANDS LÄN</t>
        </is>
      </c>
      <c r="E7555" t="inlineStr">
        <is>
          <t>LIDKÖPING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25726-2022</t>
        </is>
      </c>
      <c r="B7556" s="1" t="n">
        <v>44733</v>
      </c>
      <c r="C7556" s="1" t="n">
        <v>46011</v>
      </c>
      <c r="D7556" t="inlineStr">
        <is>
          <t>VÄSTRA GÖTALANDS LÄN</t>
        </is>
      </c>
      <c r="E7556" t="inlineStr">
        <is>
          <t>HÄRRYDA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60262-2024</t>
        </is>
      </c>
      <c r="B7557" s="1" t="n">
        <v>45642</v>
      </c>
      <c r="C7557" s="1" t="n">
        <v>46011</v>
      </c>
      <c r="D7557" t="inlineStr">
        <is>
          <t>VÄSTRA GÖTALANDS LÄN</t>
        </is>
      </c>
      <c r="E7557" t="inlineStr">
        <is>
          <t>LYSEKIL</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60274-2024</t>
        </is>
      </c>
      <c r="B7558" s="1" t="n">
        <v>45642.89546296297</v>
      </c>
      <c r="C7558" s="1" t="n">
        <v>46011</v>
      </c>
      <c r="D7558" t="inlineStr">
        <is>
          <t>VÄSTRA GÖTALANDS LÄN</t>
        </is>
      </c>
      <c r="E7558" t="inlineStr">
        <is>
          <t>LIDKÖPING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12647-2023</t>
        </is>
      </c>
      <c r="B7559" s="1" t="n">
        <v>45000</v>
      </c>
      <c r="C7559" s="1" t="n">
        <v>46011</v>
      </c>
      <c r="D7559" t="inlineStr">
        <is>
          <t>VÄSTRA GÖTALANDS LÄN</t>
        </is>
      </c>
      <c r="E7559" t="inlineStr">
        <is>
          <t>LILLA EDET</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48274-2025</t>
        </is>
      </c>
      <c r="B7560" s="1" t="n">
        <v>45933.57803240741</v>
      </c>
      <c r="C7560" s="1" t="n">
        <v>46011</v>
      </c>
      <c r="D7560" t="inlineStr">
        <is>
          <t>VÄSTRA GÖTALANDS LÄN</t>
        </is>
      </c>
      <c r="E7560" t="inlineStr">
        <is>
          <t>BENGTSFORS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12198-2023</t>
        </is>
      </c>
      <c r="B7561" s="1" t="n">
        <v>44998.57171296296</v>
      </c>
      <c r="C7561" s="1" t="n">
        <v>46011</v>
      </c>
      <c r="D7561" t="inlineStr">
        <is>
          <t>VÄSTRA GÖTALANDS LÄN</t>
        </is>
      </c>
      <c r="E7561" t="inlineStr">
        <is>
          <t>FÄRGELANDA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57225-2021</t>
        </is>
      </c>
      <c r="B7562" s="1" t="n">
        <v>44483.29784722222</v>
      </c>
      <c r="C7562" s="1" t="n">
        <v>46011</v>
      </c>
      <c r="D7562" t="inlineStr">
        <is>
          <t>VÄSTRA GÖTALANDS LÄN</t>
        </is>
      </c>
      <c r="E7562" t="inlineStr">
        <is>
          <t>TÖREBODA</t>
        </is>
      </c>
      <c r="F7562" t="inlineStr">
        <is>
          <t>Sveaskog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48727-2025</t>
        </is>
      </c>
      <c r="B7563" s="1" t="n">
        <v>45936.65829861111</v>
      </c>
      <c r="C7563" s="1" t="n">
        <v>46011</v>
      </c>
      <c r="D7563" t="inlineStr">
        <is>
          <t>VÄSTRA GÖTALANDS LÄN</t>
        </is>
      </c>
      <c r="E7563" t="inlineStr">
        <is>
          <t>LILLA EDET</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48279-2025</t>
        </is>
      </c>
      <c r="B7564" s="1" t="n">
        <v>45933.58763888889</v>
      </c>
      <c r="C7564" s="1" t="n">
        <v>46011</v>
      </c>
      <c r="D7564" t="inlineStr">
        <is>
          <t>VÄSTRA GÖTALANDS LÄN</t>
        </is>
      </c>
      <c r="E7564" t="inlineStr">
        <is>
          <t>TIBRO</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36408-2025</t>
        </is>
      </c>
      <c r="B7565" s="1" t="n">
        <v>45868.6805787037</v>
      </c>
      <c r="C7565" s="1" t="n">
        <v>46011</v>
      </c>
      <c r="D7565" t="inlineStr">
        <is>
          <t>VÄSTRA GÖTALANDS LÄN</t>
        </is>
      </c>
      <c r="E7565" t="inlineStr">
        <is>
          <t>BORÅS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435-2025</t>
        </is>
      </c>
      <c r="B7566" s="1" t="n">
        <v>45664.37454861111</v>
      </c>
      <c r="C7566" s="1" t="n">
        <v>46011</v>
      </c>
      <c r="D7566" t="inlineStr">
        <is>
          <t>VÄSTRA GÖTALANDS LÄN</t>
        </is>
      </c>
      <c r="E7566" t="inlineStr">
        <is>
          <t>BOLLEBYGD</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48752-2025</t>
        </is>
      </c>
      <c r="B7567" s="1" t="n">
        <v>45936.6905787037</v>
      </c>
      <c r="C7567" s="1" t="n">
        <v>46011</v>
      </c>
      <c r="D7567" t="inlineStr">
        <is>
          <t>VÄSTRA GÖTALANDS LÄN</t>
        </is>
      </c>
      <c r="E7567" t="inlineStr">
        <is>
          <t>BENGTSFORS</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36230-2025</t>
        </is>
      </c>
      <c r="B7568" s="1" t="n">
        <v>45867.53939814815</v>
      </c>
      <c r="C7568" s="1" t="n">
        <v>46011</v>
      </c>
      <c r="D7568" t="inlineStr">
        <is>
          <t>VÄSTRA GÖTALANDS LÄN</t>
        </is>
      </c>
      <c r="E7568" t="inlineStr">
        <is>
          <t>MARK</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59441-2024</t>
        </is>
      </c>
      <c r="B7569" s="1" t="n">
        <v>45638.4434837963</v>
      </c>
      <c r="C7569" s="1" t="n">
        <v>46011</v>
      </c>
      <c r="D7569" t="inlineStr">
        <is>
          <t>VÄSTRA GÖTALANDS LÄN</t>
        </is>
      </c>
      <c r="E7569" t="inlineStr">
        <is>
          <t>FÄRGELANDA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59463-2024</t>
        </is>
      </c>
      <c r="B7570" s="1" t="n">
        <v>45638.48190972222</v>
      </c>
      <c r="C7570" s="1" t="n">
        <v>46011</v>
      </c>
      <c r="D7570" t="inlineStr">
        <is>
          <t>VÄSTRA GÖTALANDS LÄN</t>
        </is>
      </c>
      <c r="E7570" t="inlineStr">
        <is>
          <t>BORÅS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48754-2025</t>
        </is>
      </c>
      <c r="B7571" s="1" t="n">
        <v>45936.71388888889</v>
      </c>
      <c r="C7571" s="1" t="n">
        <v>46011</v>
      </c>
      <c r="D7571" t="inlineStr">
        <is>
          <t>VÄSTRA GÖTALANDS LÄN</t>
        </is>
      </c>
      <c r="E7571" t="inlineStr">
        <is>
          <t>MUNKEDAL</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59506-2024</t>
        </is>
      </c>
      <c r="B7572" s="1" t="n">
        <v>45637</v>
      </c>
      <c r="C7572" s="1" t="n">
        <v>46011</v>
      </c>
      <c r="D7572" t="inlineStr">
        <is>
          <t>VÄSTRA GÖTALANDS LÄN</t>
        </is>
      </c>
      <c r="E7572" t="inlineStr">
        <is>
          <t>TANUM</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56259-2025</t>
        </is>
      </c>
      <c r="B7573" s="1" t="n">
        <v>45974</v>
      </c>
      <c r="C7573" s="1" t="n">
        <v>46011</v>
      </c>
      <c r="D7573" t="inlineStr">
        <is>
          <t>VÄSTRA GÖTALANDS LÄN</t>
        </is>
      </c>
      <c r="E7573" t="inlineStr">
        <is>
          <t>VÄNERSBORG</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13957-2024</t>
        </is>
      </c>
      <c r="B7574" s="1" t="n">
        <v>45392.32523148148</v>
      </c>
      <c r="C7574" s="1" t="n">
        <v>46011</v>
      </c>
      <c r="D7574" t="inlineStr">
        <is>
          <t>VÄSTRA GÖTALANDS LÄN</t>
        </is>
      </c>
      <c r="E7574" t="inlineStr">
        <is>
          <t>BORÅS</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28158-2024</t>
        </is>
      </c>
      <c r="B7575" s="1" t="n">
        <v>45476.93028935185</v>
      </c>
      <c r="C7575" s="1" t="n">
        <v>46011</v>
      </c>
      <c r="D7575" t="inlineStr">
        <is>
          <t>VÄSTRA GÖTALANDS LÄN</t>
        </is>
      </c>
      <c r="E7575" t="inlineStr">
        <is>
          <t>BOLLEBYGD</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2450-2023</t>
        </is>
      </c>
      <c r="B7576" s="1" t="n">
        <v>44943</v>
      </c>
      <c r="C7576" s="1" t="n">
        <v>46011</v>
      </c>
      <c r="D7576" t="inlineStr">
        <is>
          <t>VÄSTRA GÖTALANDS LÄN</t>
        </is>
      </c>
      <c r="E7576" t="inlineStr">
        <is>
          <t>LERUM</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57613-2024</t>
        </is>
      </c>
      <c r="B7577" s="1" t="n">
        <v>45630.54754629629</v>
      </c>
      <c r="C7577" s="1" t="n">
        <v>46011</v>
      </c>
      <c r="D7577" t="inlineStr">
        <is>
          <t>VÄSTRA GÖTALANDS LÄN</t>
        </is>
      </c>
      <c r="E7577" t="inlineStr">
        <is>
          <t>MUNKEDAL</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57619-2024</t>
        </is>
      </c>
      <c r="B7578" s="1" t="n">
        <v>45630.55037037037</v>
      </c>
      <c r="C7578" s="1" t="n">
        <v>46011</v>
      </c>
      <c r="D7578" t="inlineStr">
        <is>
          <t>VÄSTRA GÖTALANDS LÄN</t>
        </is>
      </c>
      <c r="E7578" t="inlineStr">
        <is>
          <t>MUNKEDAL</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48405-2025</t>
        </is>
      </c>
      <c r="B7579" s="1" t="n">
        <v>45934.35324074074</v>
      </c>
      <c r="C7579" s="1" t="n">
        <v>46011</v>
      </c>
      <c r="D7579" t="inlineStr">
        <is>
          <t>VÄSTRA GÖTALANDS LÄN</t>
        </is>
      </c>
      <c r="E7579" t="inlineStr">
        <is>
          <t>ULRICEHAMN</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48411-2025</t>
        </is>
      </c>
      <c r="B7580" s="1" t="n">
        <v>45934.45399305555</v>
      </c>
      <c r="C7580" s="1" t="n">
        <v>46011</v>
      </c>
      <c r="D7580" t="inlineStr">
        <is>
          <t>VÄSTRA GÖTALANDS LÄN</t>
        </is>
      </c>
      <c r="E7580" t="inlineStr">
        <is>
          <t>ULRICEHAMN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57625-2024</t>
        </is>
      </c>
      <c r="B7581" s="1" t="n">
        <v>45630.55434027778</v>
      </c>
      <c r="C7581" s="1" t="n">
        <v>46011</v>
      </c>
      <c r="D7581" t="inlineStr">
        <is>
          <t>VÄSTRA GÖTALANDS LÄN</t>
        </is>
      </c>
      <c r="E7581" t="inlineStr">
        <is>
          <t>MUNKEDAL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36187-2025</t>
        </is>
      </c>
      <c r="B7582" s="1" t="n">
        <v>45867</v>
      </c>
      <c r="C7582" s="1" t="n">
        <v>46011</v>
      </c>
      <c r="D7582" t="inlineStr">
        <is>
          <t>VÄSTRA GÖTALANDS LÄN</t>
        </is>
      </c>
      <c r="E7582" t="inlineStr">
        <is>
          <t>FALKÖPING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48505-2025</t>
        </is>
      </c>
      <c r="B7583" s="1" t="n">
        <v>45936.38321759259</v>
      </c>
      <c r="C7583" s="1" t="n">
        <v>46011</v>
      </c>
      <c r="D7583" t="inlineStr">
        <is>
          <t>VÄSTRA GÖTALANDS LÄN</t>
        </is>
      </c>
      <c r="E7583" t="inlineStr">
        <is>
          <t>TRANEMO</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35645-2023</t>
        </is>
      </c>
      <c r="B7584" s="1" t="n">
        <v>45147</v>
      </c>
      <c r="C7584" s="1" t="n">
        <v>46011</v>
      </c>
      <c r="D7584" t="inlineStr">
        <is>
          <t>VÄSTRA GÖTALANDS LÄN</t>
        </is>
      </c>
      <c r="E7584" t="inlineStr">
        <is>
          <t>MUNKEDAL</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7233-2023</t>
        </is>
      </c>
      <c r="B7585" s="1" t="n">
        <v>44970.6025</v>
      </c>
      <c r="C7585" s="1" t="n">
        <v>46011</v>
      </c>
      <c r="D7585" t="inlineStr">
        <is>
          <t>VÄSTRA GÖTALANDS LÄN</t>
        </is>
      </c>
      <c r="E7585" t="inlineStr">
        <is>
          <t>SKARA</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36384-2025</t>
        </is>
      </c>
      <c r="B7586" s="1" t="n">
        <v>45868.5902199074</v>
      </c>
      <c r="C7586" s="1" t="n">
        <v>46011</v>
      </c>
      <c r="D7586" t="inlineStr">
        <is>
          <t>VÄSTRA GÖTALANDS LÄN</t>
        </is>
      </c>
      <c r="E7586" t="inlineStr">
        <is>
          <t>ULRICEHAMN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36387-2025</t>
        </is>
      </c>
      <c r="B7587" s="1" t="n">
        <v>45868.59709490741</v>
      </c>
      <c r="C7587" s="1" t="n">
        <v>46011</v>
      </c>
      <c r="D7587" t="inlineStr">
        <is>
          <t>VÄSTRA GÖTALANDS LÄN</t>
        </is>
      </c>
      <c r="E7587" t="inlineStr">
        <is>
          <t>FÄRGELANDA</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36390-2025</t>
        </is>
      </c>
      <c r="B7588" s="1" t="n">
        <v>45868.60686342593</v>
      </c>
      <c r="C7588" s="1" t="n">
        <v>46011</v>
      </c>
      <c r="D7588" t="inlineStr">
        <is>
          <t>VÄSTRA GÖTALANDS LÄN</t>
        </is>
      </c>
      <c r="E7588" t="inlineStr">
        <is>
          <t>FÄRGELANDA</t>
        </is>
      </c>
      <c r="G7588" t="n">
        <v>14.1</v>
      </c>
      <c r="H7588" t="n">
        <v>0</v>
      </c>
      <c r="I7588" t="n">
        <v>0</v>
      </c>
      <c r="J7588" t="n">
        <v>0</v>
      </c>
      <c r="K7588" t="n">
        <v>0</v>
      </c>
      <c r="L7588" t="n">
        <v>0</v>
      </c>
      <c r="M7588" t="n">
        <v>0</v>
      </c>
      <c r="N7588" t="n">
        <v>0</v>
      </c>
      <c r="O7588" t="n">
        <v>0</v>
      </c>
      <c r="P7588" t="n">
        <v>0</v>
      </c>
      <c r="Q7588" t="n">
        <v>0</v>
      </c>
      <c r="R7588" s="2" t="inlineStr"/>
    </row>
    <row r="7589" ht="15" customHeight="1">
      <c r="A7589" t="inlineStr">
        <is>
          <t>A 36409-2025</t>
        </is>
      </c>
      <c r="B7589" s="1" t="n">
        <v>45868.68178240741</v>
      </c>
      <c r="C7589" s="1" t="n">
        <v>46011</v>
      </c>
      <c r="D7589" t="inlineStr">
        <is>
          <t>VÄSTRA GÖTALANDS LÄN</t>
        </is>
      </c>
      <c r="E7589" t="inlineStr">
        <is>
          <t>HJO</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36415-2025</t>
        </is>
      </c>
      <c r="B7590" s="1" t="n">
        <v>45868.69543981482</v>
      </c>
      <c r="C7590" s="1" t="n">
        <v>46011</v>
      </c>
      <c r="D7590" t="inlineStr">
        <is>
          <t>VÄSTRA GÖTALANDS LÄN</t>
        </is>
      </c>
      <c r="E7590" t="inlineStr">
        <is>
          <t>BORÅS</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14313-2023</t>
        </is>
      </c>
      <c r="B7591" s="1" t="n">
        <v>45011</v>
      </c>
      <c r="C7591" s="1" t="n">
        <v>46011</v>
      </c>
      <c r="D7591" t="inlineStr">
        <is>
          <t>VÄSTRA GÖTALANDS LÄN</t>
        </is>
      </c>
      <c r="E7591" t="inlineStr">
        <is>
          <t>ALINGSÅS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9915-2024</t>
        </is>
      </c>
      <c r="B7592" s="1" t="n">
        <v>45363.54946759259</v>
      </c>
      <c r="C7592" s="1" t="n">
        <v>46011</v>
      </c>
      <c r="D7592" t="inlineStr">
        <is>
          <t>VÄSTRA GÖTALANDS LÄN</t>
        </is>
      </c>
      <c r="E7592" t="inlineStr">
        <is>
          <t>TRANEMO</t>
        </is>
      </c>
      <c r="F7592" t="inlineStr">
        <is>
          <t>Kyrkan</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47523-2025</t>
        </is>
      </c>
      <c r="B7593" s="1" t="n">
        <v>45930</v>
      </c>
      <c r="C7593" s="1" t="n">
        <v>46011</v>
      </c>
      <c r="D7593" t="inlineStr">
        <is>
          <t>VÄSTRA GÖTALANDS LÄN</t>
        </is>
      </c>
      <c r="E7593" t="inlineStr">
        <is>
          <t>VÄNERSBORG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48414-2025</t>
        </is>
      </c>
      <c r="B7594" s="1" t="n">
        <v>45934.49616898148</v>
      </c>
      <c r="C7594" s="1" t="n">
        <v>46011</v>
      </c>
      <c r="D7594" t="inlineStr">
        <is>
          <t>VÄSTRA GÖTALANDS LÄN</t>
        </is>
      </c>
      <c r="E7594" t="inlineStr">
        <is>
          <t>FALKÖPING</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48416-2025</t>
        </is>
      </c>
      <c r="B7595" s="1" t="n">
        <v>45934.52469907407</v>
      </c>
      <c r="C7595" s="1" t="n">
        <v>46011</v>
      </c>
      <c r="D7595" t="inlineStr">
        <is>
          <t>VÄSTRA GÖTALANDS LÄN</t>
        </is>
      </c>
      <c r="E7595" t="inlineStr">
        <is>
          <t>ULRICEHAMN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23559-2022</t>
        </is>
      </c>
      <c r="B7596" s="1" t="n">
        <v>44721.47039351852</v>
      </c>
      <c r="C7596" s="1" t="n">
        <v>46011</v>
      </c>
      <c r="D7596" t="inlineStr">
        <is>
          <t>VÄSTRA GÖTALANDS LÄN</t>
        </is>
      </c>
      <c r="E7596" t="inlineStr">
        <is>
          <t>ALINGSÅS</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27390-2024</t>
        </is>
      </c>
      <c r="B7597" s="1" t="n">
        <v>45474.31899305555</v>
      </c>
      <c r="C7597" s="1" t="n">
        <v>46011</v>
      </c>
      <c r="D7597" t="inlineStr">
        <is>
          <t>VÄSTRA GÖTALANDS LÄN</t>
        </is>
      </c>
      <c r="E7597" t="inlineStr">
        <is>
          <t>ULRICEHAMN</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48444-2025</t>
        </is>
      </c>
      <c r="B7598" s="1" t="n">
        <v>45935.58040509259</v>
      </c>
      <c r="C7598" s="1" t="n">
        <v>46011</v>
      </c>
      <c r="D7598" t="inlineStr">
        <is>
          <t>VÄSTRA GÖTALANDS LÄN</t>
        </is>
      </c>
      <c r="E7598" t="inlineStr">
        <is>
          <t>BORÅS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48445-2025</t>
        </is>
      </c>
      <c r="B7599" s="1" t="n">
        <v>45935.5899074074</v>
      </c>
      <c r="C7599" s="1" t="n">
        <v>46011</v>
      </c>
      <c r="D7599" t="inlineStr">
        <is>
          <t>VÄSTRA GÖTALANDS LÄN</t>
        </is>
      </c>
      <c r="E7599" t="inlineStr">
        <is>
          <t>BORÅS</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36243-2025</t>
        </is>
      </c>
      <c r="B7600" s="1" t="n">
        <v>45867.55528935185</v>
      </c>
      <c r="C7600" s="1" t="n">
        <v>46011</v>
      </c>
      <c r="D7600" t="inlineStr">
        <is>
          <t>VÄSTRA GÖTALANDS LÄN</t>
        </is>
      </c>
      <c r="E7600" t="inlineStr">
        <is>
          <t>SVENLJUNGA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48025-2025</t>
        </is>
      </c>
      <c r="B7601" s="1" t="n">
        <v>45932</v>
      </c>
      <c r="C7601" s="1" t="n">
        <v>46011</v>
      </c>
      <c r="D7601" t="inlineStr">
        <is>
          <t>VÄSTRA GÖTALANDS LÄN</t>
        </is>
      </c>
      <c r="E7601" t="inlineStr">
        <is>
          <t>DALS-ED</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48294-2025</t>
        </is>
      </c>
      <c r="B7602" s="1" t="n">
        <v>45933.6030787037</v>
      </c>
      <c r="C7602" s="1" t="n">
        <v>46011</v>
      </c>
      <c r="D7602" t="inlineStr">
        <is>
          <t>VÄSTRA GÖTALANDS LÄN</t>
        </is>
      </c>
      <c r="E7602" t="inlineStr">
        <is>
          <t>ULRICEHAMN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15458-2021</t>
        </is>
      </c>
      <c r="B7603" s="1" t="n">
        <v>44285</v>
      </c>
      <c r="C7603" s="1" t="n">
        <v>46011</v>
      </c>
      <c r="D7603" t="inlineStr">
        <is>
          <t>VÄSTRA GÖTALANDS LÄN</t>
        </is>
      </c>
      <c r="E7603" t="inlineStr">
        <is>
          <t>TANUM</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2956-2022</t>
        </is>
      </c>
      <c r="B7604" s="1" t="n">
        <v>44581</v>
      </c>
      <c r="C7604" s="1" t="n">
        <v>46011</v>
      </c>
      <c r="D7604" t="inlineStr">
        <is>
          <t>VÄSTRA GÖTALANDS LÄN</t>
        </is>
      </c>
      <c r="E7604" t="inlineStr">
        <is>
          <t>BENGTSFORS</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36306-2025</t>
        </is>
      </c>
      <c r="B7605" s="1" t="n">
        <v>45868.00769675926</v>
      </c>
      <c r="C7605" s="1" t="n">
        <v>46011</v>
      </c>
      <c r="D7605" t="inlineStr">
        <is>
          <t>VÄSTRA GÖTALANDS LÄN</t>
        </is>
      </c>
      <c r="E7605" t="inlineStr">
        <is>
          <t>ULRICEHAMN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12975-2025</t>
        </is>
      </c>
      <c r="B7606" s="1" t="n">
        <v>45734.45221064815</v>
      </c>
      <c r="C7606" s="1" t="n">
        <v>46011</v>
      </c>
      <c r="D7606" t="inlineStr">
        <is>
          <t>VÄSTRA GÖTALANDS LÄN</t>
        </is>
      </c>
      <c r="E7606" t="inlineStr">
        <is>
          <t>DALS-ED</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36392-2025</t>
        </is>
      </c>
      <c r="B7607" s="1" t="n">
        <v>45868.61020833333</v>
      </c>
      <c r="C7607" s="1" t="n">
        <v>46011</v>
      </c>
      <c r="D7607" t="inlineStr">
        <is>
          <t>VÄSTRA GÖTALANDS LÄN</t>
        </is>
      </c>
      <c r="E7607" t="inlineStr">
        <is>
          <t>FÄRGELANDA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57630-2024</t>
        </is>
      </c>
      <c r="B7608" s="1" t="n">
        <v>45630.56054398148</v>
      </c>
      <c r="C7608" s="1" t="n">
        <v>46011</v>
      </c>
      <c r="D7608" t="inlineStr">
        <is>
          <t>VÄSTRA GÖTALANDS LÄN</t>
        </is>
      </c>
      <c r="E7608" t="inlineStr">
        <is>
          <t>MUNKEDAL</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60265-2024</t>
        </is>
      </c>
      <c r="B7609" s="1" t="n">
        <v>45642</v>
      </c>
      <c r="C7609" s="1" t="n">
        <v>46011</v>
      </c>
      <c r="D7609" t="inlineStr">
        <is>
          <t>VÄSTRA GÖTALANDS LÄN</t>
        </is>
      </c>
      <c r="E7609" t="inlineStr">
        <is>
          <t>LYSEKIL</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36412-2025</t>
        </is>
      </c>
      <c r="B7610" s="1" t="n">
        <v>45868.69075231482</v>
      </c>
      <c r="C7610" s="1" t="n">
        <v>46011</v>
      </c>
      <c r="D7610" t="inlineStr">
        <is>
          <t>VÄSTRA GÖTALANDS LÄN</t>
        </is>
      </c>
      <c r="E7610" t="inlineStr">
        <is>
          <t>BORÅS</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36270-2025</t>
        </is>
      </c>
      <c r="B7611" s="1" t="n">
        <v>45867.61944444444</v>
      </c>
      <c r="C7611" s="1" t="n">
        <v>46011</v>
      </c>
      <c r="D7611" t="inlineStr">
        <is>
          <t>VÄSTRA GÖTALANDS LÄN</t>
        </is>
      </c>
      <c r="E7611" t="inlineStr">
        <is>
          <t>MARK</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62041-2024</t>
        </is>
      </c>
      <c r="B7612" s="1" t="n">
        <v>45656.35159722222</v>
      </c>
      <c r="C7612" s="1" t="n">
        <v>46011</v>
      </c>
      <c r="D7612" t="inlineStr">
        <is>
          <t>VÄSTRA GÖTALANDS LÄN</t>
        </is>
      </c>
      <c r="E7612" t="inlineStr">
        <is>
          <t>UDDEVALLA</t>
        </is>
      </c>
      <c r="F7612" t="inlineStr">
        <is>
          <t>Kommuner</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62042-2024</t>
        </is>
      </c>
      <c r="B7613" s="1" t="n">
        <v>45656.35608796297</v>
      </c>
      <c r="C7613" s="1" t="n">
        <v>46011</v>
      </c>
      <c r="D7613" t="inlineStr">
        <is>
          <t>VÄSTRA GÖTALANDS LÄN</t>
        </is>
      </c>
      <c r="E7613" t="inlineStr">
        <is>
          <t>UDDEVALLA</t>
        </is>
      </c>
      <c r="F7613" t="inlineStr">
        <is>
          <t>Kommuner</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62055-2024</t>
        </is>
      </c>
      <c r="B7614" s="1" t="n">
        <v>45656.3703587963</v>
      </c>
      <c r="C7614" s="1" t="n">
        <v>46011</v>
      </c>
      <c r="D7614" t="inlineStr">
        <is>
          <t>VÄSTRA GÖTALANDS LÄN</t>
        </is>
      </c>
      <c r="E7614" t="inlineStr">
        <is>
          <t>UDDEVALLA</t>
        </is>
      </c>
      <c r="F7614" t="inlineStr">
        <is>
          <t>Kommuner</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62067-2024</t>
        </is>
      </c>
      <c r="B7615" s="1" t="n">
        <v>45656.39710648148</v>
      </c>
      <c r="C7615" s="1" t="n">
        <v>46011</v>
      </c>
      <c r="D7615" t="inlineStr">
        <is>
          <t>VÄSTRA GÖTALANDS LÄN</t>
        </is>
      </c>
      <c r="E7615" t="inlineStr">
        <is>
          <t>UDDEVALLA</t>
        </is>
      </c>
      <c r="F7615" t="inlineStr">
        <is>
          <t>Kommuner</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2130-2025</t>
        </is>
      </c>
      <c r="B7616" s="1" t="n">
        <v>45672.6562037037</v>
      </c>
      <c r="C7616" s="1" t="n">
        <v>46011</v>
      </c>
      <c r="D7616" t="inlineStr">
        <is>
          <t>VÄSTRA GÖTALANDS LÄN</t>
        </is>
      </c>
      <c r="E7616" t="inlineStr">
        <is>
          <t>MARK</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2135-2025</t>
        </is>
      </c>
      <c r="B7617" s="1" t="n">
        <v>45672.66568287037</v>
      </c>
      <c r="C7617" s="1" t="n">
        <v>46011</v>
      </c>
      <c r="D7617" t="inlineStr">
        <is>
          <t>VÄSTRA GÖTALANDS LÄN</t>
        </is>
      </c>
      <c r="E7617" t="inlineStr">
        <is>
          <t>MARK</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19059-2023</t>
        </is>
      </c>
      <c r="B7618" s="1" t="n">
        <v>45048</v>
      </c>
      <c r="C7618" s="1" t="n">
        <v>46011</v>
      </c>
      <c r="D7618" t="inlineStr">
        <is>
          <t>VÄSTRA GÖTALANDS LÄN</t>
        </is>
      </c>
      <c r="E7618" t="inlineStr">
        <is>
          <t>STENUNGSUND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57768-2024</t>
        </is>
      </c>
      <c r="B7619" s="1" t="n">
        <v>45630.87756944444</v>
      </c>
      <c r="C7619" s="1" t="n">
        <v>46011</v>
      </c>
      <c r="D7619" t="inlineStr">
        <is>
          <t>VÄSTRA GÖTALANDS LÄN</t>
        </is>
      </c>
      <c r="E7619" t="inlineStr">
        <is>
          <t>STENUNGSUND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5962-2023</t>
        </is>
      </c>
      <c r="B7620" s="1" t="n">
        <v>44964.28975694445</v>
      </c>
      <c r="C7620" s="1" t="n">
        <v>46011</v>
      </c>
      <c r="D7620" t="inlineStr">
        <is>
          <t>VÄSTRA GÖTALANDS LÄN</t>
        </is>
      </c>
      <c r="E7620" t="inlineStr">
        <is>
          <t>ALINGSÅS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57289-2024</t>
        </is>
      </c>
      <c r="B7621" s="1" t="n">
        <v>45629.58579861111</v>
      </c>
      <c r="C7621" s="1" t="n">
        <v>46011</v>
      </c>
      <c r="D7621" t="inlineStr">
        <is>
          <t>VÄSTRA GÖTALANDS LÄN</t>
        </is>
      </c>
      <c r="E7621" t="inlineStr">
        <is>
          <t>GULLSPÅNG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53767-2024</t>
        </is>
      </c>
      <c r="B7622" s="1" t="n">
        <v>45615.52331018518</v>
      </c>
      <c r="C7622" s="1" t="n">
        <v>46011</v>
      </c>
      <c r="D7622" t="inlineStr">
        <is>
          <t>VÄSTRA GÖTALANDS LÄN</t>
        </is>
      </c>
      <c r="E7622" t="inlineStr">
        <is>
          <t>SVENLJUNGA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48262-2025</t>
        </is>
      </c>
      <c r="B7623" s="1" t="n">
        <v>45933.56418981482</v>
      </c>
      <c r="C7623" s="1" t="n">
        <v>46011</v>
      </c>
      <c r="D7623" t="inlineStr">
        <is>
          <t>VÄSTRA GÖTALANDS LÄN</t>
        </is>
      </c>
      <c r="E7623" t="inlineStr">
        <is>
          <t>TRANEMO</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56930-2025</t>
        </is>
      </c>
      <c r="B7624" s="1" t="n">
        <v>45978.6075</v>
      </c>
      <c r="C7624" s="1" t="n">
        <v>46011</v>
      </c>
      <c r="D7624" t="inlineStr">
        <is>
          <t>VÄSTRA GÖTALANDS LÄN</t>
        </is>
      </c>
      <c r="E7624" t="inlineStr">
        <is>
          <t>TRANEMO</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56944-2025</t>
        </is>
      </c>
      <c r="B7625" s="1" t="n">
        <v>45978.63587962963</v>
      </c>
      <c r="C7625" s="1" t="n">
        <v>46011</v>
      </c>
      <c r="D7625" t="inlineStr">
        <is>
          <t>VÄSTRA GÖTALANDS LÄN</t>
        </is>
      </c>
      <c r="E7625" t="inlineStr">
        <is>
          <t>TANUM</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56989-2025</t>
        </is>
      </c>
      <c r="B7626" s="1" t="n">
        <v>45978.72342592593</v>
      </c>
      <c r="C7626" s="1" t="n">
        <v>46011</v>
      </c>
      <c r="D7626" t="inlineStr">
        <is>
          <t>VÄSTRA GÖTALANDS LÄN</t>
        </is>
      </c>
      <c r="E7626" t="inlineStr">
        <is>
          <t>TRANEMO</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9473-2023</t>
        </is>
      </c>
      <c r="B7627" s="1" t="n">
        <v>44981</v>
      </c>
      <c r="C7627" s="1" t="n">
        <v>46011</v>
      </c>
      <c r="D7627" t="inlineStr">
        <is>
          <t>VÄSTRA GÖTALANDS LÄN</t>
        </is>
      </c>
      <c r="E7627" t="inlineStr">
        <is>
          <t>HJO</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12551-2023</t>
        </is>
      </c>
      <c r="B7628" s="1" t="n">
        <v>45000</v>
      </c>
      <c r="C7628" s="1" t="n">
        <v>46011</v>
      </c>
      <c r="D7628" t="inlineStr">
        <is>
          <t>VÄSTRA GÖTALANDS LÄN</t>
        </is>
      </c>
      <c r="E7628" t="inlineStr">
        <is>
          <t>TIDAHOLM</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36638-2025</t>
        </is>
      </c>
      <c r="B7629" s="1" t="n">
        <v>45870.73099537037</v>
      </c>
      <c r="C7629" s="1" t="n">
        <v>46011</v>
      </c>
      <c r="D7629" t="inlineStr">
        <is>
          <t>VÄSTRA GÖTALANDS LÄN</t>
        </is>
      </c>
      <c r="E7629" t="inlineStr">
        <is>
          <t>VÅRGÅRDA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57000-2025</t>
        </is>
      </c>
      <c r="B7630" s="1" t="n">
        <v>45977</v>
      </c>
      <c r="C7630" s="1" t="n">
        <v>46011</v>
      </c>
      <c r="D7630" t="inlineStr">
        <is>
          <t>VÄSTRA GÖTALANDS LÄN</t>
        </is>
      </c>
      <c r="E7630" t="inlineStr">
        <is>
          <t>TJÖRN</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55820-2025</t>
        </is>
      </c>
      <c r="B7631" s="1" t="n">
        <v>45972</v>
      </c>
      <c r="C7631" s="1" t="n">
        <v>46011</v>
      </c>
      <c r="D7631" t="inlineStr">
        <is>
          <t>VÄSTRA GÖTALANDS LÄN</t>
        </is>
      </c>
      <c r="E7631" t="inlineStr">
        <is>
          <t>SVENLJUNGA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26521-2024</t>
        </is>
      </c>
      <c r="B7632" s="1" t="n">
        <v>45469.60047453704</v>
      </c>
      <c r="C7632" s="1" t="n">
        <v>46011</v>
      </c>
      <c r="D7632" t="inlineStr">
        <is>
          <t>VÄSTRA GÖTALANDS LÄN</t>
        </is>
      </c>
      <c r="E7632" t="inlineStr">
        <is>
          <t>TIDAHOLM</t>
        </is>
      </c>
      <c r="F7632" t="inlineStr">
        <is>
          <t>Sveaskog</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62053-2024</t>
        </is>
      </c>
      <c r="B7633" s="1" t="n">
        <v>45656.36848379629</v>
      </c>
      <c r="C7633" s="1" t="n">
        <v>46011</v>
      </c>
      <c r="D7633" t="inlineStr">
        <is>
          <t>VÄSTRA GÖTALANDS LÄN</t>
        </is>
      </c>
      <c r="E7633" t="inlineStr">
        <is>
          <t>UDDEVALLA</t>
        </is>
      </c>
      <c r="F7633" t="inlineStr">
        <is>
          <t>Kommuner</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61269-2024</t>
        </is>
      </c>
      <c r="B7634" s="1" t="n">
        <v>45645.74246527778</v>
      </c>
      <c r="C7634" s="1" t="n">
        <v>46011</v>
      </c>
      <c r="D7634" t="inlineStr">
        <is>
          <t>VÄSTRA GÖTALANDS LÄN</t>
        </is>
      </c>
      <c r="E7634" t="inlineStr">
        <is>
          <t>VARA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36631-2025</t>
        </is>
      </c>
      <c r="B7635" s="1" t="n">
        <v>45870</v>
      </c>
      <c r="C7635" s="1" t="n">
        <v>46011</v>
      </c>
      <c r="D7635" t="inlineStr">
        <is>
          <t>VÄSTRA GÖTALANDS LÄN</t>
        </is>
      </c>
      <c r="E7635" t="inlineStr">
        <is>
          <t>FALKÖPING</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36639-2025</t>
        </is>
      </c>
      <c r="B7636" s="1" t="n">
        <v>45870.73174768518</v>
      </c>
      <c r="C7636" s="1" t="n">
        <v>46011</v>
      </c>
      <c r="D7636" t="inlineStr">
        <is>
          <t>VÄSTRA GÖTALANDS LÄN</t>
        </is>
      </c>
      <c r="E7636" t="inlineStr">
        <is>
          <t>VÅRGÅRDA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61294-2024</t>
        </is>
      </c>
      <c r="B7637" s="1" t="n">
        <v>45645.83722222222</v>
      </c>
      <c r="C7637" s="1" t="n">
        <v>46011</v>
      </c>
      <c r="D7637" t="inlineStr">
        <is>
          <t>VÄSTRA GÖTALANDS LÄN</t>
        </is>
      </c>
      <c r="E7637" t="inlineStr">
        <is>
          <t>GÖTENE</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16621-2022</t>
        </is>
      </c>
      <c r="B7638" s="1" t="n">
        <v>44672.60231481482</v>
      </c>
      <c r="C7638" s="1" t="n">
        <v>46011</v>
      </c>
      <c r="D7638" t="inlineStr">
        <is>
          <t>VÄSTRA GÖTALANDS LÄN</t>
        </is>
      </c>
      <c r="E7638" t="inlineStr">
        <is>
          <t>MUNKEDAL</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16631-2022</t>
        </is>
      </c>
      <c r="B7639" s="1" t="n">
        <v>44672.6129050926</v>
      </c>
      <c r="C7639" s="1" t="n">
        <v>46011</v>
      </c>
      <c r="D7639" t="inlineStr">
        <is>
          <t>VÄSTRA GÖTALANDS LÄN</t>
        </is>
      </c>
      <c r="E7639" t="inlineStr">
        <is>
          <t>MUNKEDAL</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36627-2025</t>
        </is>
      </c>
      <c r="B7640" s="1" t="n">
        <v>45870</v>
      </c>
      <c r="C7640" s="1" t="n">
        <v>46011</v>
      </c>
      <c r="D7640" t="inlineStr">
        <is>
          <t>VÄSTRA GÖTALANDS LÄN</t>
        </is>
      </c>
      <c r="E7640" t="inlineStr">
        <is>
          <t>VARA</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36628-2025</t>
        </is>
      </c>
      <c r="B7641" s="1" t="n">
        <v>45870</v>
      </c>
      <c r="C7641" s="1" t="n">
        <v>46011</v>
      </c>
      <c r="D7641" t="inlineStr">
        <is>
          <t>VÄSTRA GÖTALANDS LÄN</t>
        </is>
      </c>
      <c r="E7641" t="inlineStr">
        <is>
          <t>FALKÖPING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36630-2025</t>
        </is>
      </c>
      <c r="B7642" s="1" t="n">
        <v>45870</v>
      </c>
      <c r="C7642" s="1" t="n">
        <v>46011</v>
      </c>
      <c r="D7642" t="inlineStr">
        <is>
          <t>VÄSTRA GÖTALANDS LÄN</t>
        </is>
      </c>
      <c r="E7642" t="inlineStr">
        <is>
          <t>VARA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36632-2025</t>
        </is>
      </c>
      <c r="B7643" s="1" t="n">
        <v>45870</v>
      </c>
      <c r="C7643" s="1" t="n">
        <v>46011</v>
      </c>
      <c r="D7643" t="inlineStr">
        <is>
          <t>VÄSTRA GÖTALANDS LÄN</t>
        </is>
      </c>
      <c r="E7643" t="inlineStr">
        <is>
          <t>VARA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17339-2024</t>
        </is>
      </c>
      <c r="B7644" s="1" t="n">
        <v>45414.57461805556</v>
      </c>
      <c r="C7644" s="1" t="n">
        <v>46011</v>
      </c>
      <c r="D7644" t="inlineStr">
        <is>
          <t>VÄSTRA GÖTALANDS LÄN</t>
        </is>
      </c>
      <c r="E7644" t="inlineStr">
        <is>
          <t>TIDAHOLM</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56787-2025</t>
        </is>
      </c>
      <c r="B7645" s="1" t="n">
        <v>45978.42547453703</v>
      </c>
      <c r="C7645" s="1" t="n">
        <v>46011</v>
      </c>
      <c r="D7645" t="inlineStr">
        <is>
          <t>VÄSTRA GÖTALANDS LÄN</t>
        </is>
      </c>
      <c r="E7645" t="inlineStr">
        <is>
          <t>SKARA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13854-2022</t>
        </is>
      </c>
      <c r="B7646" s="1" t="n">
        <v>44649.68643518518</v>
      </c>
      <c r="C7646" s="1" t="n">
        <v>46011</v>
      </c>
      <c r="D7646" t="inlineStr">
        <is>
          <t>VÄSTRA GÖTALANDS LÄN</t>
        </is>
      </c>
      <c r="E7646" t="inlineStr">
        <is>
          <t>ULRICEHAMN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39173-2023</t>
        </is>
      </c>
      <c r="B7647" s="1" t="n">
        <v>45166.37446759259</v>
      </c>
      <c r="C7647" s="1" t="n">
        <v>46011</v>
      </c>
      <c r="D7647" t="inlineStr">
        <is>
          <t>VÄSTRA GÖTALANDS LÄN</t>
        </is>
      </c>
      <c r="E7647" t="inlineStr">
        <is>
          <t>SVENLJUNGA</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2122-2025</t>
        </is>
      </c>
      <c r="B7648" s="1" t="n">
        <v>45672.64579861111</v>
      </c>
      <c r="C7648" s="1" t="n">
        <v>46011</v>
      </c>
      <c r="D7648" t="inlineStr">
        <is>
          <t>VÄSTRA GÖTALANDS LÄN</t>
        </is>
      </c>
      <c r="E7648" t="inlineStr">
        <is>
          <t>LYSEKIL</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36573-2025</t>
        </is>
      </c>
      <c r="B7649" s="1" t="n">
        <v>45869</v>
      </c>
      <c r="C7649" s="1" t="n">
        <v>46011</v>
      </c>
      <c r="D7649" t="inlineStr">
        <is>
          <t>VÄSTRA GÖTALANDS LÄN</t>
        </is>
      </c>
      <c r="E7649" t="inlineStr">
        <is>
          <t>GULLSPÅNG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2146-2025</t>
        </is>
      </c>
      <c r="B7650" s="1" t="n">
        <v>45672.69664351852</v>
      </c>
      <c r="C7650" s="1" t="n">
        <v>46011</v>
      </c>
      <c r="D7650" t="inlineStr">
        <is>
          <t>VÄSTRA GÖTALANDS LÄN</t>
        </is>
      </c>
      <c r="E7650" t="inlineStr">
        <is>
          <t>VÄNERSBORG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11527-2023</t>
        </is>
      </c>
      <c r="B7651" s="1" t="n">
        <v>44993.76420138889</v>
      </c>
      <c r="C7651" s="1" t="n">
        <v>46011</v>
      </c>
      <c r="D7651" t="inlineStr">
        <is>
          <t>VÄSTRA GÖTALANDS LÄN</t>
        </is>
      </c>
      <c r="E7651" t="inlineStr">
        <is>
          <t>BORÅS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2167-2025</t>
        </is>
      </c>
      <c r="B7652" s="1" t="n">
        <v>45673.25934027778</v>
      </c>
      <c r="C7652" s="1" t="n">
        <v>46011</v>
      </c>
      <c r="D7652" t="inlineStr">
        <is>
          <t>VÄSTRA GÖTALANDS LÄN</t>
        </is>
      </c>
      <c r="E7652" t="inlineStr">
        <is>
          <t>ALINGSÅS</t>
        </is>
      </c>
      <c r="F7652" t="inlineStr">
        <is>
          <t>Kyrkan</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2192-2025</t>
        </is>
      </c>
      <c r="B7653" s="1" t="n">
        <v>45673.37917824074</v>
      </c>
      <c r="C7653" s="1" t="n">
        <v>46011</v>
      </c>
      <c r="D7653" t="inlineStr">
        <is>
          <t>VÄSTRA GÖTALANDS LÄN</t>
        </is>
      </c>
      <c r="E7653" t="inlineStr">
        <is>
          <t>TANUM</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2213-2025</t>
        </is>
      </c>
      <c r="B7654" s="1" t="n">
        <v>45673.4359837963</v>
      </c>
      <c r="C7654" s="1" t="n">
        <v>46011</v>
      </c>
      <c r="D7654" t="inlineStr">
        <is>
          <t>VÄSTRA GÖTALANDS LÄN</t>
        </is>
      </c>
      <c r="E7654" t="inlineStr">
        <is>
          <t>ORUST</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38347-2023</t>
        </is>
      </c>
      <c r="B7655" s="1" t="n">
        <v>45161.90960648148</v>
      </c>
      <c r="C7655" s="1" t="n">
        <v>46011</v>
      </c>
      <c r="D7655" t="inlineStr">
        <is>
          <t>VÄSTRA GÖTALANDS LÄN</t>
        </is>
      </c>
      <c r="E7655" t="inlineStr">
        <is>
          <t>DALS-ED</t>
        </is>
      </c>
      <c r="F7655" t="inlineStr">
        <is>
          <t>Kommuner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60242-2024</t>
        </is>
      </c>
      <c r="B7656" s="1" t="n">
        <v>45642.79674768518</v>
      </c>
      <c r="C7656" s="1" t="n">
        <v>46011</v>
      </c>
      <c r="D7656" t="inlineStr">
        <is>
          <t>VÄSTRA GÖTALANDS LÄN</t>
        </is>
      </c>
      <c r="E7656" t="inlineStr">
        <is>
          <t>UDDEVALLA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38389-2023</t>
        </is>
      </c>
      <c r="B7657" s="1" t="n">
        <v>45162</v>
      </c>
      <c r="C7657" s="1" t="n">
        <v>46011</v>
      </c>
      <c r="D7657" t="inlineStr">
        <is>
          <t>VÄSTRA GÖTALANDS LÄN</t>
        </is>
      </c>
      <c r="E7657" t="inlineStr">
        <is>
          <t>UDDEVALLA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38548-2023</t>
        </is>
      </c>
      <c r="B7658" s="1" t="n">
        <v>45162.59163194444</v>
      </c>
      <c r="C7658" s="1" t="n">
        <v>46011</v>
      </c>
      <c r="D7658" t="inlineStr">
        <is>
          <t>VÄSTRA GÖTALANDS LÄN</t>
        </is>
      </c>
      <c r="E7658" t="inlineStr">
        <is>
          <t>DALS-ED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48130-2025</t>
        </is>
      </c>
      <c r="B7659" s="1" t="n">
        <v>45933.36780092592</v>
      </c>
      <c r="C7659" s="1" t="n">
        <v>46011</v>
      </c>
      <c r="D7659" t="inlineStr">
        <is>
          <t>VÄSTRA GÖTALANDS LÄN</t>
        </is>
      </c>
      <c r="E7659" t="inlineStr">
        <is>
          <t>BENGTSFORS</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62620-2021</t>
        </is>
      </c>
      <c r="B7660" s="1" t="n">
        <v>44503.71177083333</v>
      </c>
      <c r="C7660" s="1" t="n">
        <v>46011</v>
      </c>
      <c r="D7660" t="inlineStr">
        <is>
          <t>VÄSTRA GÖTALANDS LÄN</t>
        </is>
      </c>
      <c r="E7660" t="inlineStr">
        <is>
          <t>ULRICEHAMN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38320-2023</t>
        </is>
      </c>
      <c r="B7661" s="1" t="n">
        <v>45161</v>
      </c>
      <c r="C7661" s="1" t="n">
        <v>46011</v>
      </c>
      <c r="D7661" t="inlineStr">
        <is>
          <t>VÄSTRA GÖTALANDS LÄN</t>
        </is>
      </c>
      <c r="E7661" t="inlineStr">
        <is>
          <t>FALKÖPING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38322-2023</t>
        </is>
      </c>
      <c r="B7662" s="1" t="n">
        <v>45161.73658564815</v>
      </c>
      <c r="C7662" s="1" t="n">
        <v>46011</v>
      </c>
      <c r="D7662" t="inlineStr">
        <is>
          <t>VÄSTRA GÖTALANDS LÄN</t>
        </is>
      </c>
      <c r="E7662" t="inlineStr">
        <is>
          <t>ORUST</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30632-2023</t>
        </is>
      </c>
      <c r="B7663" s="1" t="n">
        <v>45102</v>
      </c>
      <c r="C7663" s="1" t="n">
        <v>46011</v>
      </c>
      <c r="D7663" t="inlineStr">
        <is>
          <t>VÄSTRA GÖTALANDS LÄN</t>
        </is>
      </c>
      <c r="E7663" t="inlineStr">
        <is>
          <t>TANUM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61584-2023</t>
        </is>
      </c>
      <c r="B7664" s="1" t="n">
        <v>45261</v>
      </c>
      <c r="C7664" s="1" t="n">
        <v>46011</v>
      </c>
      <c r="D7664" t="inlineStr">
        <is>
          <t>VÄSTRA GÖTALANDS LÄN</t>
        </is>
      </c>
      <c r="E7664" t="inlineStr">
        <is>
          <t>MUNKEDAL</t>
        </is>
      </c>
      <c r="F7664" t="inlineStr">
        <is>
          <t>Övriga Aktiebolag</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30636-2023</t>
        </is>
      </c>
      <c r="B7665" s="1" t="n">
        <v>45112.46046296296</v>
      </c>
      <c r="C7665" s="1" t="n">
        <v>46011</v>
      </c>
      <c r="D7665" t="inlineStr">
        <is>
          <t>VÄSTRA GÖTALANDS LÄN</t>
        </is>
      </c>
      <c r="E7665" t="inlineStr">
        <is>
          <t>HJO</t>
        </is>
      </c>
      <c r="F7665" t="inlineStr">
        <is>
          <t>Kyrkan</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30637-2023</t>
        </is>
      </c>
      <c r="B7666" s="1" t="n">
        <v>45112.46177083333</v>
      </c>
      <c r="C7666" s="1" t="n">
        <v>46011</v>
      </c>
      <c r="D7666" t="inlineStr">
        <is>
          <t>VÄSTRA GÖTALANDS LÄN</t>
        </is>
      </c>
      <c r="E7666" t="inlineStr">
        <is>
          <t>BOLLEBYGD</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16648-2023</t>
        </is>
      </c>
      <c r="B7667" s="1" t="n">
        <v>45028</v>
      </c>
      <c r="C7667" s="1" t="n">
        <v>46011</v>
      </c>
      <c r="D7667" t="inlineStr">
        <is>
          <t>VÄSTRA GÖTALANDS LÄN</t>
        </is>
      </c>
      <c r="E7667" t="inlineStr">
        <is>
          <t>LERUM</t>
        </is>
      </c>
      <c r="F7667" t="inlineStr">
        <is>
          <t>Kyrkan</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15147-2025</t>
        </is>
      </c>
      <c r="B7668" s="1" t="n">
        <v>45744.45267361111</v>
      </c>
      <c r="C7668" s="1" t="n">
        <v>46011</v>
      </c>
      <c r="D7668" t="inlineStr">
        <is>
          <t>VÄSTRA GÖTALANDS LÄN</t>
        </is>
      </c>
      <c r="E7668" t="inlineStr">
        <is>
          <t>GULLSPÅNG</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8920-2023</t>
        </is>
      </c>
      <c r="B7669" s="1" t="n">
        <v>44973</v>
      </c>
      <c r="C7669" s="1" t="n">
        <v>46011</v>
      </c>
      <c r="D7669" t="inlineStr">
        <is>
          <t>VÄSTRA GÖTALANDS LÄN</t>
        </is>
      </c>
      <c r="E7669" t="inlineStr">
        <is>
          <t>MARK</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11345-2023</t>
        </is>
      </c>
      <c r="B7670" s="1" t="n">
        <v>44993.37150462963</v>
      </c>
      <c r="C7670" s="1" t="n">
        <v>46011</v>
      </c>
      <c r="D7670" t="inlineStr">
        <is>
          <t>VÄSTRA GÖTALANDS LÄN</t>
        </is>
      </c>
      <c r="E7670" t="inlineStr">
        <is>
          <t>MARIESTAD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3618-2025</t>
        </is>
      </c>
      <c r="B7671" s="1" t="n">
        <v>45681.36631944445</v>
      </c>
      <c r="C7671" s="1" t="n">
        <v>46011</v>
      </c>
      <c r="D7671" t="inlineStr">
        <is>
          <t>VÄSTRA GÖTALANDS LÄN</t>
        </is>
      </c>
      <c r="E7671" t="inlineStr">
        <is>
          <t>ALINGSÅS</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59132-2022</t>
        </is>
      </c>
      <c r="B7672" s="1" t="n">
        <v>44904.44300925926</v>
      </c>
      <c r="C7672" s="1" t="n">
        <v>46011</v>
      </c>
      <c r="D7672" t="inlineStr">
        <is>
          <t>VÄSTRA GÖTALANDS LÄN</t>
        </is>
      </c>
      <c r="E7672" t="inlineStr">
        <is>
          <t>MUNKEDAL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57083-2022</t>
        </is>
      </c>
      <c r="B7673" s="1" t="n">
        <v>44895.45375</v>
      </c>
      <c r="C7673" s="1" t="n">
        <v>46011</v>
      </c>
      <c r="D7673" t="inlineStr">
        <is>
          <t>VÄSTRA GÖTALANDS LÄN</t>
        </is>
      </c>
      <c r="E7673" t="inlineStr">
        <is>
          <t>LERUM</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57120-2022</t>
        </is>
      </c>
      <c r="B7674" s="1" t="n">
        <v>44895.54767361111</v>
      </c>
      <c r="C7674" s="1" t="n">
        <v>46011</v>
      </c>
      <c r="D7674" t="inlineStr">
        <is>
          <t>VÄSTRA GÖTALANDS LÄN</t>
        </is>
      </c>
      <c r="E7674" t="inlineStr">
        <is>
          <t>LERUM</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48683-2025</t>
        </is>
      </c>
      <c r="B7675" s="1" t="n">
        <v>45935</v>
      </c>
      <c r="C7675" s="1" t="n">
        <v>46011</v>
      </c>
      <c r="D7675" t="inlineStr">
        <is>
          <t>VÄSTRA GÖTALANDS LÄN</t>
        </is>
      </c>
      <c r="E7675" t="inlineStr">
        <is>
          <t>TANUM</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48688-2025</t>
        </is>
      </c>
      <c r="B7676" s="1" t="n">
        <v>45936.60555555556</v>
      </c>
      <c r="C7676" s="1" t="n">
        <v>46011</v>
      </c>
      <c r="D7676" t="inlineStr">
        <is>
          <t>VÄSTRA GÖTALANDS LÄN</t>
        </is>
      </c>
      <c r="E7676" t="inlineStr">
        <is>
          <t>STRÖMSTAD</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53690-2024</t>
        </is>
      </c>
      <c r="B7677" s="1" t="n">
        <v>45615.37197916667</v>
      </c>
      <c r="C7677" s="1" t="n">
        <v>46011</v>
      </c>
      <c r="D7677" t="inlineStr">
        <is>
          <t>VÄSTRA GÖTALANDS LÄN</t>
        </is>
      </c>
      <c r="E7677" t="inlineStr">
        <is>
          <t>HERRLJUNGA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48406-2025</t>
        </is>
      </c>
      <c r="B7678" s="1" t="n">
        <v>45934.38615740741</v>
      </c>
      <c r="C7678" s="1" t="n">
        <v>46011</v>
      </c>
      <c r="D7678" t="inlineStr">
        <is>
          <t>VÄSTRA GÖTALANDS LÄN</t>
        </is>
      </c>
      <c r="E7678" t="inlineStr">
        <is>
          <t>ULRICEHAMN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48415-2025</t>
        </is>
      </c>
      <c r="B7679" s="1" t="n">
        <v>45934.50327546296</v>
      </c>
      <c r="C7679" s="1" t="n">
        <v>46011</v>
      </c>
      <c r="D7679" t="inlineStr">
        <is>
          <t>VÄSTRA GÖTALANDS LÄN</t>
        </is>
      </c>
      <c r="E7679" t="inlineStr">
        <is>
          <t>FALKÖPING</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27312-2023</t>
        </is>
      </c>
      <c r="B7680" s="1" t="n">
        <v>45096</v>
      </c>
      <c r="C7680" s="1" t="n">
        <v>46011</v>
      </c>
      <c r="D7680" t="inlineStr">
        <is>
          <t>VÄSTRA GÖTALANDS LÄN</t>
        </is>
      </c>
      <c r="E7680" t="inlineStr">
        <is>
          <t>TIDAHOLM</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39542-2023</t>
        </is>
      </c>
      <c r="B7681" s="1" t="n">
        <v>45167</v>
      </c>
      <c r="C7681" s="1" t="n">
        <v>46011</v>
      </c>
      <c r="D7681" t="inlineStr">
        <is>
          <t>VÄSTRA GÖTALANDS LÄN</t>
        </is>
      </c>
      <c r="E7681" t="inlineStr">
        <is>
          <t>HJO</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48477-2025</t>
        </is>
      </c>
      <c r="B7682" s="1" t="n">
        <v>45936.3486574074</v>
      </c>
      <c r="C7682" s="1" t="n">
        <v>46011</v>
      </c>
      <c r="D7682" t="inlineStr">
        <is>
          <t>VÄSTRA GÖTALANDS LÄN</t>
        </is>
      </c>
      <c r="E7682" t="inlineStr">
        <is>
          <t>SVENLJUNGA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36635-2025</t>
        </is>
      </c>
      <c r="B7683" s="1" t="n">
        <v>45870.70042824074</v>
      </c>
      <c r="C7683" s="1" t="n">
        <v>46011</v>
      </c>
      <c r="D7683" t="inlineStr">
        <is>
          <t>VÄSTRA GÖTALANDS LÄN</t>
        </is>
      </c>
      <c r="E7683" t="inlineStr">
        <is>
          <t>BORÅS</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36636-2025</t>
        </is>
      </c>
      <c r="B7684" s="1" t="n">
        <v>45870.70177083334</v>
      </c>
      <c r="C7684" s="1" t="n">
        <v>46011</v>
      </c>
      <c r="D7684" t="inlineStr">
        <is>
          <t>VÄSTRA GÖTALANDS LÄN</t>
        </is>
      </c>
      <c r="E7684" t="inlineStr">
        <is>
          <t>BORÅS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48483-2025</t>
        </is>
      </c>
      <c r="B7685" s="1" t="n">
        <v>45936.35569444444</v>
      </c>
      <c r="C7685" s="1" t="n">
        <v>46011</v>
      </c>
      <c r="D7685" t="inlineStr">
        <is>
          <t>VÄSTRA GÖTALANDS LÄN</t>
        </is>
      </c>
      <c r="E7685" t="inlineStr">
        <is>
          <t>FÄRGELANDA</t>
        </is>
      </c>
      <c r="F7685" t="inlineStr">
        <is>
          <t>Kommuner</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48484-2025</t>
        </is>
      </c>
      <c r="B7686" s="1" t="n">
        <v>45936.35686342593</v>
      </c>
      <c r="C7686" s="1" t="n">
        <v>46011</v>
      </c>
      <c r="D7686" t="inlineStr">
        <is>
          <t>VÄSTRA GÖTALANDS LÄN</t>
        </is>
      </c>
      <c r="E7686" t="inlineStr">
        <is>
          <t>TRANEMO</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57195-2022</t>
        </is>
      </c>
      <c r="B7687" s="1" t="n">
        <v>44895</v>
      </c>
      <c r="C7687" s="1" t="n">
        <v>46011</v>
      </c>
      <c r="D7687" t="inlineStr">
        <is>
          <t>VÄSTRA GÖTALANDS LÄN</t>
        </is>
      </c>
      <c r="E7687" t="inlineStr">
        <is>
          <t>LERUM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3670-2021</t>
        </is>
      </c>
      <c r="B7688" s="1" t="n">
        <v>44221</v>
      </c>
      <c r="C7688" s="1" t="n">
        <v>46011</v>
      </c>
      <c r="D7688" t="inlineStr">
        <is>
          <t>VÄSTRA GÖTALANDS LÄN</t>
        </is>
      </c>
      <c r="E7688" t="inlineStr">
        <is>
          <t>HÄRRYDA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36637-2025</t>
        </is>
      </c>
      <c r="B7689" s="1" t="n">
        <v>45870.73012731481</v>
      </c>
      <c r="C7689" s="1" t="n">
        <v>46011</v>
      </c>
      <c r="D7689" t="inlineStr">
        <is>
          <t>VÄSTRA GÖTALANDS LÄN</t>
        </is>
      </c>
      <c r="E7689" t="inlineStr">
        <is>
          <t>VÅRGÅRDA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51900-2021</t>
        </is>
      </c>
      <c r="B7690" s="1" t="n">
        <v>44462.90412037037</v>
      </c>
      <c r="C7690" s="1" t="n">
        <v>46011</v>
      </c>
      <c r="D7690" t="inlineStr">
        <is>
          <t>VÄSTRA GÖTALANDS LÄN</t>
        </is>
      </c>
      <c r="E7690" t="inlineStr">
        <is>
          <t>LERUM</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61627-2024</t>
        </is>
      </c>
      <c r="B7691" s="1" t="n">
        <v>45646.66263888889</v>
      </c>
      <c r="C7691" s="1" t="n">
        <v>46011</v>
      </c>
      <c r="D7691" t="inlineStr">
        <is>
          <t>VÄSTRA GÖTALANDS LÄN</t>
        </is>
      </c>
      <c r="E7691" t="inlineStr">
        <is>
          <t>TJÖRN</t>
        </is>
      </c>
      <c r="F7691" t="inlineStr">
        <is>
          <t>Kommuner</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46119-2025</t>
        </is>
      </c>
      <c r="B7692" s="1" t="n">
        <v>45924</v>
      </c>
      <c r="C7692" s="1" t="n">
        <v>46011</v>
      </c>
      <c r="D7692" t="inlineStr">
        <is>
          <t>VÄSTRA GÖTALANDS LÄN</t>
        </is>
      </c>
      <c r="E7692" t="inlineStr">
        <is>
          <t>ORUST</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36581-2025</t>
        </is>
      </c>
      <c r="B7693" s="1" t="n">
        <v>45869</v>
      </c>
      <c r="C7693" s="1" t="n">
        <v>46011</v>
      </c>
      <c r="D7693" t="inlineStr">
        <is>
          <t>VÄSTRA GÖTALANDS LÄN</t>
        </is>
      </c>
      <c r="E7693" t="inlineStr">
        <is>
          <t>GULLSPÅNG</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48482-2025</t>
        </is>
      </c>
      <c r="B7694" s="1" t="n">
        <v>45936.35365740741</v>
      </c>
      <c r="C7694" s="1" t="n">
        <v>46011</v>
      </c>
      <c r="D7694" t="inlineStr">
        <is>
          <t>VÄSTRA GÖTALANDS LÄN</t>
        </is>
      </c>
      <c r="E7694" t="inlineStr">
        <is>
          <t>SVENLJUNGA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36605-2025</t>
        </is>
      </c>
      <c r="B7695" s="1" t="n">
        <v>45870</v>
      </c>
      <c r="C7695" s="1" t="n">
        <v>46011</v>
      </c>
      <c r="D7695" t="inlineStr">
        <is>
          <t>VÄSTRA GÖTALANDS LÄN</t>
        </is>
      </c>
      <c r="E7695" t="inlineStr">
        <is>
          <t>BORÅS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35098-2023</t>
        </is>
      </c>
      <c r="B7696" s="1" t="n">
        <v>45145.45490740741</v>
      </c>
      <c r="C7696" s="1" t="n">
        <v>46011</v>
      </c>
      <c r="D7696" t="inlineStr">
        <is>
          <t>VÄSTRA GÖTALANDS LÄN</t>
        </is>
      </c>
      <c r="E7696" t="inlineStr">
        <is>
          <t>FÄRGELANDA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12383-2021</t>
        </is>
      </c>
      <c r="B7697" s="1" t="n">
        <v>44267</v>
      </c>
      <c r="C7697" s="1" t="n">
        <v>46011</v>
      </c>
      <c r="D7697" t="inlineStr">
        <is>
          <t>VÄSTRA GÖTALANDS LÄN</t>
        </is>
      </c>
      <c r="E7697" t="inlineStr">
        <is>
          <t>TRANEMO</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48260-2025</t>
        </is>
      </c>
      <c r="B7698" s="1" t="n">
        <v>45933.55741898148</v>
      </c>
      <c r="C7698" s="1" t="n">
        <v>46011</v>
      </c>
      <c r="D7698" t="inlineStr">
        <is>
          <t>VÄSTRA GÖTALANDS LÄN</t>
        </is>
      </c>
      <c r="E7698" t="inlineStr">
        <is>
          <t>TANUM</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35139-2023</t>
        </is>
      </c>
      <c r="B7699" s="1" t="n">
        <v>45145.53503472222</v>
      </c>
      <c r="C7699" s="1" t="n">
        <v>46011</v>
      </c>
      <c r="D7699" t="inlineStr">
        <is>
          <t>VÄSTRA GÖTALANDS LÄN</t>
        </is>
      </c>
      <c r="E7699" t="inlineStr">
        <is>
          <t>MUNKEDAL</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36591-2025</t>
        </is>
      </c>
      <c r="B7700" s="1" t="n">
        <v>45870.49383101852</v>
      </c>
      <c r="C7700" s="1" t="n">
        <v>46011</v>
      </c>
      <c r="D7700" t="inlineStr">
        <is>
          <t>VÄSTRA GÖTALANDS LÄN</t>
        </is>
      </c>
      <c r="E7700" t="inlineStr">
        <is>
          <t>ULRICEHAMN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14332-2025</t>
        </is>
      </c>
      <c r="B7701" s="1" t="n">
        <v>45740</v>
      </c>
      <c r="C7701" s="1" t="n">
        <v>46011</v>
      </c>
      <c r="D7701" t="inlineStr">
        <is>
          <t>VÄSTRA GÖTALANDS LÄN</t>
        </is>
      </c>
      <c r="E7701" t="inlineStr">
        <is>
          <t>TIDAHOLM</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6096-2025</t>
        </is>
      </c>
      <c r="B7702" s="1" t="n">
        <v>45697</v>
      </c>
      <c r="C7702" s="1" t="n">
        <v>46011</v>
      </c>
      <c r="D7702" t="inlineStr">
        <is>
          <t>VÄSTRA GÖTALANDS LÄN</t>
        </is>
      </c>
      <c r="E7702" t="inlineStr">
        <is>
          <t>KUNGÄLV</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48018-2025</t>
        </is>
      </c>
      <c r="B7703" s="1" t="n">
        <v>45932</v>
      </c>
      <c r="C7703" s="1" t="n">
        <v>46011</v>
      </c>
      <c r="D7703" t="inlineStr">
        <is>
          <t>VÄSTRA GÖTALANDS LÄN</t>
        </is>
      </c>
      <c r="E7703" t="inlineStr">
        <is>
          <t>DALS-ED</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48066-2025</t>
        </is>
      </c>
      <c r="B7704" s="1" t="n">
        <v>45932</v>
      </c>
      <c r="C7704" s="1" t="n">
        <v>46011</v>
      </c>
      <c r="D7704" t="inlineStr">
        <is>
          <t>VÄSTRA GÖTALANDS LÄN</t>
        </is>
      </c>
      <c r="E7704" t="inlineStr">
        <is>
          <t>VARA</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13513-2023</t>
        </is>
      </c>
      <c r="B7705" s="1" t="n">
        <v>45006.30979166667</v>
      </c>
      <c r="C7705" s="1" t="n">
        <v>46011</v>
      </c>
      <c r="D7705" t="inlineStr">
        <is>
          <t>VÄSTRA GÖTALANDS LÄN</t>
        </is>
      </c>
      <c r="E7705" t="inlineStr">
        <is>
          <t>ULRICEHAMN</t>
        </is>
      </c>
      <c r="F7705" t="inlineStr">
        <is>
          <t>Kommuner</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7289-2023</t>
        </is>
      </c>
      <c r="B7706" s="1" t="n">
        <v>44970.71144675926</v>
      </c>
      <c r="C7706" s="1" t="n">
        <v>46011</v>
      </c>
      <c r="D7706" t="inlineStr">
        <is>
          <t>VÄSTRA GÖTALANDS LÄN</t>
        </is>
      </c>
      <c r="E7706" t="inlineStr">
        <is>
          <t>SVENLJUNGA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7347-2023</t>
        </is>
      </c>
      <c r="B7707" s="1" t="n">
        <v>44971</v>
      </c>
      <c r="C7707" s="1" t="n">
        <v>46011</v>
      </c>
      <c r="D7707" t="inlineStr">
        <is>
          <t>VÄSTRA GÖTALANDS LÄN</t>
        </is>
      </c>
      <c r="E7707" t="inlineStr">
        <is>
          <t>ULRICEHAMN</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41442-2025</t>
        </is>
      </c>
      <c r="B7708" s="1" t="n">
        <v>45869</v>
      </c>
      <c r="C7708" s="1" t="n">
        <v>46011</v>
      </c>
      <c r="D7708" t="inlineStr">
        <is>
          <t>VÄSTRA GÖTALANDS LÄN</t>
        </is>
      </c>
      <c r="E7708" t="inlineStr">
        <is>
          <t>KUNGÄLV</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48088-2025</t>
        </is>
      </c>
      <c r="B7709" s="1" t="n">
        <v>45932.88050925926</v>
      </c>
      <c r="C7709" s="1" t="n">
        <v>46011</v>
      </c>
      <c r="D7709" t="inlineStr">
        <is>
          <t>VÄSTRA GÖTALANDS LÄN</t>
        </is>
      </c>
      <c r="E7709" t="inlineStr">
        <is>
          <t>SKARA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48094-2025</t>
        </is>
      </c>
      <c r="B7710" s="1" t="n">
        <v>45933.33019675926</v>
      </c>
      <c r="C7710" s="1" t="n">
        <v>46011</v>
      </c>
      <c r="D7710" t="inlineStr">
        <is>
          <t>VÄSTRA GÖTALANDS LÄN</t>
        </is>
      </c>
      <c r="E7710" t="inlineStr">
        <is>
          <t>VÅRGÅRDA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48097-2025</t>
        </is>
      </c>
      <c r="B7711" s="1" t="n">
        <v>45933.30924768518</v>
      </c>
      <c r="C7711" s="1" t="n">
        <v>46011</v>
      </c>
      <c r="D7711" t="inlineStr">
        <is>
          <t>VÄSTRA GÖTALANDS LÄN</t>
        </is>
      </c>
      <c r="E7711" t="inlineStr">
        <is>
          <t>SKARA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48104-2025</t>
        </is>
      </c>
      <c r="B7712" s="1" t="n">
        <v>45933.3422337963</v>
      </c>
      <c r="C7712" s="1" t="n">
        <v>46011</v>
      </c>
      <c r="D7712" t="inlineStr">
        <is>
          <t>VÄSTRA GÖTALANDS LÄN</t>
        </is>
      </c>
      <c r="E7712" t="inlineStr">
        <is>
          <t>VÅRGÅRDA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13056-2023</t>
        </is>
      </c>
      <c r="B7713" s="1" t="n">
        <v>45002.37699074074</v>
      </c>
      <c r="C7713" s="1" t="n">
        <v>46011</v>
      </c>
      <c r="D7713" t="inlineStr">
        <is>
          <t>VÄSTRA GÖTALANDS LÄN</t>
        </is>
      </c>
      <c r="E7713" t="inlineStr">
        <is>
          <t>TÖREBODA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54225-2022</t>
        </is>
      </c>
      <c r="B7714" s="1" t="n">
        <v>44881</v>
      </c>
      <c r="C7714" s="1" t="n">
        <v>46011</v>
      </c>
      <c r="D7714" t="inlineStr">
        <is>
          <t>VÄSTRA GÖTALANDS LÄN</t>
        </is>
      </c>
      <c r="E7714" t="inlineStr">
        <is>
          <t>MARIESTAD</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54226-2022</t>
        </is>
      </c>
      <c r="B7715" s="1" t="n">
        <v>44881</v>
      </c>
      <c r="C7715" s="1" t="n">
        <v>46011</v>
      </c>
      <c r="D7715" t="inlineStr">
        <is>
          <t>VÄSTRA GÖTALANDS LÄN</t>
        </is>
      </c>
      <c r="E7715" t="inlineStr">
        <is>
          <t>MARK</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26847-2024</t>
        </is>
      </c>
      <c r="B7716" s="1" t="n">
        <v>45470.58363425926</v>
      </c>
      <c r="C7716" s="1" t="n">
        <v>46011</v>
      </c>
      <c r="D7716" t="inlineStr">
        <is>
          <t>VÄSTRA GÖTALANDS LÄN</t>
        </is>
      </c>
      <c r="E7716" t="inlineStr">
        <is>
          <t>UDDEVALLA</t>
        </is>
      </c>
      <c r="F7716" t="inlineStr">
        <is>
          <t>Kommuner</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48212-2025</t>
        </is>
      </c>
      <c r="B7717" s="1" t="n">
        <v>45933.49399305556</v>
      </c>
      <c r="C7717" s="1" t="n">
        <v>46011</v>
      </c>
      <c r="D7717" t="inlineStr">
        <is>
          <t>VÄSTRA GÖTALANDS LÄN</t>
        </is>
      </c>
      <c r="E7717" t="inlineStr">
        <is>
          <t>BOLLEBYGD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48346-2025</t>
        </is>
      </c>
      <c r="B7718" s="1" t="n">
        <v>45933.64770833333</v>
      </c>
      <c r="C7718" s="1" t="n">
        <v>46011</v>
      </c>
      <c r="D7718" t="inlineStr">
        <is>
          <t>VÄSTRA GÖTALANDS LÄN</t>
        </is>
      </c>
      <c r="E7718" t="inlineStr">
        <is>
          <t>ULRICEHAMN</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55312-2025</t>
        </is>
      </c>
      <c r="B7719" s="1" t="n">
        <v>45970</v>
      </c>
      <c r="C7719" s="1" t="n">
        <v>46011</v>
      </c>
      <c r="D7719" t="inlineStr">
        <is>
          <t>VÄSTRA GÖTALANDS LÄN</t>
        </is>
      </c>
      <c r="E7719" t="inlineStr">
        <is>
          <t>TRANEMO</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54-2023</t>
        </is>
      </c>
      <c r="B7720" s="1" t="n">
        <v>44928.40848379629</v>
      </c>
      <c r="C7720" s="1" t="n">
        <v>46011</v>
      </c>
      <c r="D7720" t="inlineStr">
        <is>
          <t>VÄSTRA GÖTALANDS LÄN</t>
        </is>
      </c>
      <c r="E7720" t="inlineStr">
        <is>
          <t>MARK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56984-2025</t>
        </is>
      </c>
      <c r="B7721" s="1" t="n">
        <v>45978.71613425926</v>
      </c>
      <c r="C7721" s="1" t="n">
        <v>46011</v>
      </c>
      <c r="D7721" t="inlineStr">
        <is>
          <t>VÄSTRA GÖTALANDS LÄN</t>
        </is>
      </c>
      <c r="E7721" t="inlineStr">
        <is>
          <t>TRANEMO</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56986-2025</t>
        </is>
      </c>
      <c r="B7722" s="1" t="n">
        <v>45978.71899305555</v>
      </c>
      <c r="C7722" s="1" t="n">
        <v>46011</v>
      </c>
      <c r="D7722" t="inlineStr">
        <is>
          <t>VÄSTRA GÖTALANDS LÄN</t>
        </is>
      </c>
      <c r="E7722" t="inlineStr">
        <is>
          <t>TRANEMO</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16538-2023</t>
        </is>
      </c>
      <c r="B7723" s="1" t="n">
        <v>45029</v>
      </c>
      <c r="C7723" s="1" t="n">
        <v>46011</v>
      </c>
      <c r="D7723" t="inlineStr">
        <is>
          <t>VÄSTRA GÖTALANDS LÄN</t>
        </is>
      </c>
      <c r="E7723" t="inlineStr">
        <is>
          <t>MARK</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16539-2023</t>
        </is>
      </c>
      <c r="B7724" s="1" t="n">
        <v>45029</v>
      </c>
      <c r="C7724" s="1" t="n">
        <v>46011</v>
      </c>
      <c r="D7724" t="inlineStr">
        <is>
          <t>VÄSTRA GÖTALANDS LÄN</t>
        </is>
      </c>
      <c r="E7724" t="inlineStr">
        <is>
          <t>MARK</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58397-2022</t>
        </is>
      </c>
      <c r="B7725" s="1" t="n">
        <v>44901.65896990741</v>
      </c>
      <c r="C7725" s="1" t="n">
        <v>46011</v>
      </c>
      <c r="D7725" t="inlineStr">
        <is>
          <t>VÄSTRA GÖTALANDS LÄN</t>
        </is>
      </c>
      <c r="E7725" t="inlineStr">
        <is>
          <t>MARK</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59083-2022</t>
        </is>
      </c>
      <c r="B7726" s="1" t="n">
        <v>44904.37513888889</v>
      </c>
      <c r="C7726" s="1" t="n">
        <v>46011</v>
      </c>
      <c r="D7726" t="inlineStr">
        <is>
          <t>VÄSTRA GÖTALANDS LÄN</t>
        </is>
      </c>
      <c r="E7726" t="inlineStr">
        <is>
          <t>MARK</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56983-2025</t>
        </is>
      </c>
      <c r="B7727" s="1" t="n">
        <v>45978.7124537037</v>
      </c>
      <c r="C7727" s="1" t="n">
        <v>46011</v>
      </c>
      <c r="D7727" t="inlineStr">
        <is>
          <t>VÄSTRA GÖTALANDS LÄN</t>
        </is>
      </c>
      <c r="E7727" t="inlineStr">
        <is>
          <t>TRANEMO</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54361-2022</t>
        </is>
      </c>
      <c r="B7728" s="1" t="n">
        <v>44882</v>
      </c>
      <c r="C7728" s="1" t="n">
        <v>46011</v>
      </c>
      <c r="D7728" t="inlineStr">
        <is>
          <t>VÄSTRA GÖTALANDS LÄN</t>
        </is>
      </c>
      <c r="E7728" t="inlineStr">
        <is>
          <t>BORÅS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56990-2025</t>
        </is>
      </c>
      <c r="B7729" s="1" t="n">
        <v>45978.7262962963</v>
      </c>
      <c r="C7729" s="1" t="n">
        <v>46011</v>
      </c>
      <c r="D7729" t="inlineStr">
        <is>
          <t>VÄSTRA GÖTALANDS LÄN</t>
        </is>
      </c>
      <c r="E7729" t="inlineStr">
        <is>
          <t>TRANEMO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438-2023</t>
        </is>
      </c>
      <c r="B7730" s="1" t="n">
        <v>44929.69923611111</v>
      </c>
      <c r="C7730" s="1" t="n">
        <v>46011</v>
      </c>
      <c r="D7730" t="inlineStr">
        <is>
          <t>VÄSTRA GÖTALANDS LÄN</t>
        </is>
      </c>
      <c r="E7730" t="inlineStr">
        <is>
          <t>TANUM</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57001-2025</t>
        </is>
      </c>
      <c r="B7731" s="1" t="n">
        <v>45977</v>
      </c>
      <c r="C7731" s="1" t="n">
        <v>46011</v>
      </c>
      <c r="D7731" t="inlineStr">
        <is>
          <t>VÄSTRA GÖTALANDS LÄN</t>
        </is>
      </c>
      <c r="E7731" t="inlineStr">
        <is>
          <t>SOTENÄS</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57007-2025</t>
        </is>
      </c>
      <c r="B7732" s="1" t="n">
        <v>45978.77184027778</v>
      </c>
      <c r="C7732" s="1" t="n">
        <v>46011</v>
      </c>
      <c r="D7732" t="inlineStr">
        <is>
          <t>VÄSTRA GÖTALANDS LÄN</t>
        </is>
      </c>
      <c r="E7732" t="inlineStr">
        <is>
          <t>TRANEMO</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51497-2022</t>
        </is>
      </c>
      <c r="B7733" s="1" t="n">
        <v>44869</v>
      </c>
      <c r="C7733" s="1" t="n">
        <v>46011</v>
      </c>
      <c r="D7733" t="inlineStr">
        <is>
          <t>VÄSTRA GÖTALANDS LÄN</t>
        </is>
      </c>
      <c r="E7733" t="inlineStr">
        <is>
          <t>MARK</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4306-2024</t>
        </is>
      </c>
      <c r="B7734" s="1" t="n">
        <v>45324.63686342593</v>
      </c>
      <c r="C7734" s="1" t="n">
        <v>46011</v>
      </c>
      <c r="D7734" t="inlineStr">
        <is>
          <t>VÄSTRA GÖTALANDS LÄN</t>
        </is>
      </c>
      <c r="E7734" t="inlineStr">
        <is>
          <t>MARK</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9197-2024</t>
        </is>
      </c>
      <c r="B7735" s="1" t="n">
        <v>45358.46297453704</v>
      </c>
      <c r="C7735" s="1" t="n">
        <v>46011</v>
      </c>
      <c r="D7735" t="inlineStr">
        <is>
          <t>VÄSTRA GÖTALANDS LÄN</t>
        </is>
      </c>
      <c r="E7735" t="inlineStr">
        <is>
          <t>MARK</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36884-2025</t>
        </is>
      </c>
      <c r="B7736" s="1" t="n">
        <v>45874.44050925926</v>
      </c>
      <c r="C7736" s="1" t="n">
        <v>46011</v>
      </c>
      <c r="D7736" t="inlineStr">
        <is>
          <t>VÄSTRA GÖTALANDS LÄN</t>
        </is>
      </c>
      <c r="E7736" t="inlineStr">
        <is>
          <t>TANUM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56469-2025</t>
        </is>
      </c>
      <c r="B7737" s="1" t="n">
        <v>45974</v>
      </c>
      <c r="C7737" s="1" t="n">
        <v>46011</v>
      </c>
      <c r="D7737" t="inlineStr">
        <is>
          <t>VÄSTRA GÖTALANDS LÄN</t>
        </is>
      </c>
      <c r="E7737" t="inlineStr">
        <is>
          <t>FALKÖPING</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44056-2025</t>
        </is>
      </c>
      <c r="B7738" s="1" t="n">
        <v>45915.52861111111</v>
      </c>
      <c r="C7738" s="1" t="n">
        <v>46011</v>
      </c>
      <c r="D7738" t="inlineStr">
        <is>
          <t>VÄSTRA GÖTALANDS LÄN</t>
        </is>
      </c>
      <c r="E7738" t="inlineStr">
        <is>
          <t>UDDEVALLA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46121-2025</t>
        </is>
      </c>
      <c r="B7739" s="1" t="n">
        <v>45924</v>
      </c>
      <c r="C7739" s="1" t="n">
        <v>46011</v>
      </c>
      <c r="D7739" t="inlineStr">
        <is>
          <t>VÄSTRA GÖTALANDS LÄN</t>
        </is>
      </c>
      <c r="E7739" t="inlineStr">
        <is>
          <t>ORUST</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56927-2025</t>
        </is>
      </c>
      <c r="B7740" s="1" t="n">
        <v>45978.60552083333</v>
      </c>
      <c r="C7740" s="1" t="n">
        <v>46011</v>
      </c>
      <c r="D7740" t="inlineStr">
        <is>
          <t>VÄSTRA GÖTALANDS LÄN</t>
        </is>
      </c>
      <c r="E7740" t="inlineStr">
        <is>
          <t>FÄRGELANDA</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39311-2023</t>
        </is>
      </c>
      <c r="B7741" s="1" t="n">
        <v>45162</v>
      </c>
      <c r="C7741" s="1" t="n">
        <v>46011</v>
      </c>
      <c r="D7741" t="inlineStr">
        <is>
          <t>VÄSTRA GÖTALANDS LÄN</t>
        </is>
      </c>
      <c r="E7741" t="inlineStr">
        <is>
          <t>GULLSPÅNG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20260-2021</t>
        </is>
      </c>
      <c r="B7742" s="1" t="n">
        <v>44314</v>
      </c>
      <c r="C7742" s="1" t="n">
        <v>46011</v>
      </c>
      <c r="D7742" t="inlineStr">
        <is>
          <t>VÄSTRA GÖTALANDS LÄN</t>
        </is>
      </c>
      <c r="E7742" t="inlineStr">
        <is>
          <t>VÅRGÅRDA</t>
        </is>
      </c>
      <c r="F7742" t="inlineStr">
        <is>
          <t>Kyrkan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62037-2024</t>
        </is>
      </c>
      <c r="B7743" s="1" t="n">
        <v>45656.34373842592</v>
      </c>
      <c r="C7743" s="1" t="n">
        <v>46011</v>
      </c>
      <c r="D7743" t="inlineStr">
        <is>
          <t>VÄSTRA GÖTALANDS LÄN</t>
        </is>
      </c>
      <c r="E7743" t="inlineStr">
        <is>
          <t>UDDEVALLA</t>
        </is>
      </c>
      <c r="F7743" t="inlineStr">
        <is>
          <t>Kommuner</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62045-2024</t>
        </is>
      </c>
      <c r="B7744" s="1" t="n">
        <v>45656.36090277778</v>
      </c>
      <c r="C7744" s="1" t="n">
        <v>46011</v>
      </c>
      <c r="D7744" t="inlineStr">
        <is>
          <t>VÄSTRA GÖTALANDS LÄN</t>
        </is>
      </c>
      <c r="E7744" t="inlineStr">
        <is>
          <t>UDDEVALLA</t>
        </is>
      </c>
      <c r="F7744" t="inlineStr">
        <is>
          <t>Kommuner</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62075-2024</t>
        </is>
      </c>
      <c r="B7745" s="1" t="n">
        <v>45656.41354166667</v>
      </c>
      <c r="C7745" s="1" t="n">
        <v>46011</v>
      </c>
      <c r="D7745" t="inlineStr">
        <is>
          <t>VÄSTRA GÖTALANDS LÄN</t>
        </is>
      </c>
      <c r="E7745" t="inlineStr">
        <is>
          <t>UDDEVALLA</t>
        </is>
      </c>
      <c r="F7745" t="inlineStr">
        <is>
          <t>Kommuner</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2457-2025</t>
        </is>
      </c>
      <c r="B7746" s="1" t="n">
        <v>45674.45380787037</v>
      </c>
      <c r="C7746" s="1" t="n">
        <v>46011</v>
      </c>
      <c r="D7746" t="inlineStr">
        <is>
          <t>VÄSTRA GÖTALANDS LÄN</t>
        </is>
      </c>
      <c r="E7746" t="inlineStr">
        <is>
          <t>ÅMÅL</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12445-2022</t>
        </is>
      </c>
      <c r="B7747" s="1" t="n">
        <v>44638</v>
      </c>
      <c r="C7747" s="1" t="n">
        <v>46011</v>
      </c>
      <c r="D7747" t="inlineStr">
        <is>
          <t>VÄSTRA GÖTALANDS LÄN</t>
        </is>
      </c>
      <c r="E7747" t="inlineStr">
        <is>
          <t>ALE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34939-2025</t>
        </is>
      </c>
      <c r="B7748" s="1" t="n">
        <v>45849.58229166667</v>
      </c>
      <c r="C7748" s="1" t="n">
        <v>46011</v>
      </c>
      <c r="D7748" t="inlineStr">
        <is>
          <t>VÄSTRA GÖTALANDS LÄN</t>
        </is>
      </c>
      <c r="E7748" t="inlineStr">
        <is>
          <t>TJÖRN</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48690-2025</t>
        </is>
      </c>
      <c r="B7749" s="1" t="n">
        <v>45936.61097222222</v>
      </c>
      <c r="C7749" s="1" t="n">
        <v>46011</v>
      </c>
      <c r="D7749" t="inlineStr">
        <is>
          <t>VÄSTRA GÖTALANDS LÄN</t>
        </is>
      </c>
      <c r="E7749" t="inlineStr">
        <is>
          <t>BENGTSFORS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53204-2024</t>
        </is>
      </c>
      <c r="B7750" s="1" t="n">
        <v>45612.44818287037</v>
      </c>
      <c r="C7750" s="1" t="n">
        <v>46011</v>
      </c>
      <c r="D7750" t="inlineStr">
        <is>
          <t>VÄSTRA GÖTALANDS LÄN</t>
        </is>
      </c>
      <c r="E7750" t="inlineStr">
        <is>
          <t>BORÅS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26683-2025</t>
        </is>
      </c>
      <c r="B7751" s="1" t="n">
        <v>45810.43164351852</v>
      </c>
      <c r="C7751" s="1" t="n">
        <v>46011</v>
      </c>
      <c r="D7751" t="inlineStr">
        <is>
          <t>VÄSTRA GÖTALANDS LÄN</t>
        </is>
      </c>
      <c r="E7751" t="inlineStr">
        <is>
          <t>MARK</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38264-2023</t>
        </is>
      </c>
      <c r="B7752" s="1" t="n">
        <v>45161</v>
      </c>
      <c r="C7752" s="1" t="n">
        <v>46011</v>
      </c>
      <c r="D7752" t="inlineStr">
        <is>
          <t>VÄSTRA GÖTALANDS LÄN</t>
        </is>
      </c>
      <c r="E7752" t="inlineStr">
        <is>
          <t>SKÖVDE</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53553-2024</t>
        </is>
      </c>
      <c r="B7753" s="1" t="n">
        <v>45614.6421875</v>
      </c>
      <c r="C7753" s="1" t="n">
        <v>46011</v>
      </c>
      <c r="D7753" t="inlineStr">
        <is>
          <t>VÄSTRA GÖTALANDS LÄN</t>
        </is>
      </c>
      <c r="E7753" t="inlineStr">
        <is>
          <t>HERRLJUNGA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48708-2025</t>
        </is>
      </c>
      <c r="B7754" s="1" t="n">
        <v>45936.6285300926</v>
      </c>
      <c r="C7754" s="1" t="n">
        <v>46011</v>
      </c>
      <c r="D7754" t="inlineStr">
        <is>
          <t>VÄSTRA GÖTALANDS LÄN</t>
        </is>
      </c>
      <c r="E7754" t="inlineStr">
        <is>
          <t>FALKÖPING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48915-2023</t>
        </is>
      </c>
      <c r="B7755" s="1" t="n">
        <v>45209.54509259259</v>
      </c>
      <c r="C7755" s="1" t="n">
        <v>46011</v>
      </c>
      <c r="D7755" t="inlineStr">
        <is>
          <t>VÄSTRA GÖTALANDS LÄN</t>
        </is>
      </c>
      <c r="E7755" t="inlineStr">
        <is>
          <t>MARK</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45913-2024</t>
        </is>
      </c>
      <c r="B7756" s="1" t="n">
        <v>45580.45703703703</v>
      </c>
      <c r="C7756" s="1" t="n">
        <v>46011</v>
      </c>
      <c r="D7756" t="inlineStr">
        <is>
          <t>VÄSTRA GÖTALANDS LÄN</t>
        </is>
      </c>
      <c r="E7756" t="inlineStr">
        <is>
          <t>MARK</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28559-2025</t>
        </is>
      </c>
      <c r="B7757" s="1" t="n">
        <v>45819.54780092592</v>
      </c>
      <c r="C7757" s="1" t="n">
        <v>46011</v>
      </c>
      <c r="D7757" t="inlineStr">
        <is>
          <t>VÄSTRA GÖTALANDS LÄN</t>
        </is>
      </c>
      <c r="E7757" t="inlineStr">
        <is>
          <t>MUNKEDAL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16963-2025</t>
        </is>
      </c>
      <c r="B7758" s="1" t="n">
        <v>45755.45349537037</v>
      </c>
      <c r="C7758" s="1" t="n">
        <v>46011</v>
      </c>
      <c r="D7758" t="inlineStr">
        <is>
          <t>VÄSTRA GÖTALANDS LÄN</t>
        </is>
      </c>
      <c r="E7758" t="inlineStr">
        <is>
          <t>MARK</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23990-2025</t>
        </is>
      </c>
      <c r="B7759" s="1" t="n">
        <v>45796.40141203703</v>
      </c>
      <c r="C7759" s="1" t="n">
        <v>46011</v>
      </c>
      <c r="D7759" t="inlineStr">
        <is>
          <t>VÄSTRA GÖTALANDS LÄN</t>
        </is>
      </c>
      <c r="E7759" t="inlineStr">
        <is>
          <t>MARK</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30380-2021</t>
        </is>
      </c>
      <c r="B7760" s="1" t="n">
        <v>44364.47981481482</v>
      </c>
      <c r="C7760" s="1" t="n">
        <v>46011</v>
      </c>
      <c r="D7760" t="inlineStr">
        <is>
          <t>VÄSTRA GÖTALANDS LÄN</t>
        </is>
      </c>
      <c r="E7760" t="inlineStr">
        <is>
          <t>DALS-ED</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52097-2024</t>
        </is>
      </c>
      <c r="B7761" s="1" t="n">
        <v>45608.4153125</v>
      </c>
      <c r="C7761" s="1" t="n">
        <v>46011</v>
      </c>
      <c r="D7761" t="inlineStr">
        <is>
          <t>VÄSTRA GÖTALANDS LÄN</t>
        </is>
      </c>
      <c r="E7761" t="inlineStr">
        <is>
          <t>VÅRGÅRDA</t>
        </is>
      </c>
      <c r="G7761" t="n">
        <v>10.9</v>
      </c>
      <c r="H7761" t="n">
        <v>0</v>
      </c>
      <c r="I7761" t="n">
        <v>0</v>
      </c>
      <c r="J7761" t="n">
        <v>0</v>
      </c>
      <c r="K7761" t="n">
        <v>0</v>
      </c>
      <c r="L7761" t="n">
        <v>0</v>
      </c>
      <c r="M7761" t="n">
        <v>0</v>
      </c>
      <c r="N7761" t="n">
        <v>0</v>
      </c>
      <c r="O7761" t="n">
        <v>0</v>
      </c>
      <c r="P7761" t="n">
        <v>0</v>
      </c>
      <c r="Q7761" t="n">
        <v>0</v>
      </c>
      <c r="R7761" s="2" t="inlineStr"/>
    </row>
    <row r="7762" ht="15" customHeight="1">
      <c r="A7762" t="inlineStr">
        <is>
          <t>A 48081-2025</t>
        </is>
      </c>
      <c r="B7762" s="1" t="n">
        <v>45932.77</v>
      </c>
      <c r="C7762" s="1" t="n">
        <v>46011</v>
      </c>
      <c r="D7762" t="inlineStr">
        <is>
          <t>VÄSTRA GÖTALANDS LÄN</t>
        </is>
      </c>
      <c r="E7762" t="inlineStr">
        <is>
          <t>VÅRGÅRDA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317-2024</t>
        </is>
      </c>
      <c r="B7763" s="1" t="n">
        <v>45295</v>
      </c>
      <c r="C7763" s="1" t="n">
        <v>46011</v>
      </c>
      <c r="D7763" t="inlineStr">
        <is>
          <t>VÄSTRA GÖTALANDS LÄN</t>
        </is>
      </c>
      <c r="E7763" t="inlineStr">
        <is>
          <t>TÖREBODA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48730-2025</t>
        </is>
      </c>
      <c r="B7764" s="1" t="n">
        <v>45936.65984953703</v>
      </c>
      <c r="C7764" s="1" t="n">
        <v>46011</v>
      </c>
      <c r="D7764" t="inlineStr">
        <is>
          <t>VÄSTRA GÖTALANDS LÄN</t>
        </is>
      </c>
      <c r="E7764" t="inlineStr">
        <is>
          <t>LILLA EDET</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8304-2023</t>
        </is>
      </c>
      <c r="B7765" s="1" t="n">
        <v>44974.68053240741</v>
      </c>
      <c r="C7765" s="1" t="n">
        <v>46011</v>
      </c>
      <c r="D7765" t="inlineStr">
        <is>
          <t>VÄSTRA GÖTALANDS LÄN</t>
        </is>
      </c>
      <c r="E7765" t="inlineStr">
        <is>
          <t>SVENLJUNGA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32888-2023</t>
        </is>
      </c>
      <c r="B7766" s="1" t="n">
        <v>45124</v>
      </c>
      <c r="C7766" s="1" t="n">
        <v>46011</v>
      </c>
      <c r="D7766" t="inlineStr">
        <is>
          <t>VÄSTRA GÖTALANDS LÄN</t>
        </is>
      </c>
      <c r="E7766" t="inlineStr">
        <is>
          <t>MARK</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36803-2025</t>
        </is>
      </c>
      <c r="B7767" s="1" t="n">
        <v>45873.6764699074</v>
      </c>
      <c r="C7767" s="1" t="n">
        <v>46011</v>
      </c>
      <c r="D7767" t="inlineStr">
        <is>
          <t>VÄSTRA GÖTALANDS LÄN</t>
        </is>
      </c>
      <c r="E7767" t="inlineStr">
        <is>
          <t>MARK</t>
        </is>
      </c>
      <c r="G7767" t="n">
        <v>6.2</v>
      </c>
      <c r="H7767" t="n">
        <v>0</v>
      </c>
      <c r="I7767" t="n">
        <v>0</v>
      </c>
      <c r="J7767" t="n">
        <v>0</v>
      </c>
      <c r="K7767" t="n">
        <v>0</v>
      </c>
      <c r="L7767" t="n">
        <v>0</v>
      </c>
      <c r="M7767" t="n">
        <v>0</v>
      </c>
      <c r="N7767" t="n">
        <v>0</v>
      </c>
      <c r="O7767" t="n">
        <v>0</v>
      </c>
      <c r="P7767" t="n">
        <v>0</v>
      </c>
      <c r="Q7767" t="n">
        <v>0</v>
      </c>
      <c r="R7767" s="2" t="inlineStr"/>
    </row>
    <row r="7768" ht="15" customHeight="1">
      <c r="A7768" t="inlineStr">
        <is>
          <t>A 8349-2023</t>
        </is>
      </c>
      <c r="B7768" s="1" t="n">
        <v>44977.31903935185</v>
      </c>
      <c r="C7768" s="1" t="n">
        <v>46011</v>
      </c>
      <c r="D7768" t="inlineStr">
        <is>
          <t>VÄSTRA GÖTALANDS LÄN</t>
        </is>
      </c>
      <c r="E7768" t="inlineStr">
        <is>
          <t>HERRLJUNGA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43615-2024</t>
        </is>
      </c>
      <c r="B7769" s="1" t="n">
        <v>45569.47056712963</v>
      </c>
      <c r="C7769" s="1" t="n">
        <v>46011</v>
      </c>
      <c r="D7769" t="inlineStr">
        <is>
          <t>VÄSTRA GÖTALANDS LÄN</t>
        </is>
      </c>
      <c r="E7769" t="inlineStr">
        <is>
          <t>VARA</t>
        </is>
      </c>
      <c r="F7769" t="inlineStr">
        <is>
          <t>Kyrkan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2730-2023</t>
        </is>
      </c>
      <c r="B7770" s="1" t="n">
        <v>44944.56824074074</v>
      </c>
      <c r="C7770" s="1" t="n">
        <v>46011</v>
      </c>
      <c r="D7770" t="inlineStr">
        <is>
          <t>VÄSTRA GÖTALANDS LÄN</t>
        </is>
      </c>
      <c r="E7770" t="inlineStr">
        <is>
          <t>MARK</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58398-2022</t>
        </is>
      </c>
      <c r="B7771" s="1" t="n">
        <v>44901.66434027778</v>
      </c>
      <c r="C7771" s="1" t="n">
        <v>46011</v>
      </c>
      <c r="D7771" t="inlineStr">
        <is>
          <t>VÄSTRA GÖTALANDS LÄN</t>
        </is>
      </c>
      <c r="E7771" t="inlineStr">
        <is>
          <t>MARK</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62999-2023</t>
        </is>
      </c>
      <c r="B7772" s="1" t="n">
        <v>45272</v>
      </c>
      <c r="C7772" s="1" t="n">
        <v>46011</v>
      </c>
      <c r="D7772" t="inlineStr">
        <is>
          <t>VÄSTRA GÖTALANDS LÄN</t>
        </is>
      </c>
      <c r="E7772" t="inlineStr">
        <is>
          <t>MARK</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15424-2021</t>
        </is>
      </c>
      <c r="B7773" s="1" t="n">
        <v>44285.35993055555</v>
      </c>
      <c r="C7773" s="1" t="n">
        <v>46011</v>
      </c>
      <c r="D7773" t="inlineStr">
        <is>
          <t>VÄSTRA GÖTALANDS LÄN</t>
        </is>
      </c>
      <c r="E7773" t="inlineStr">
        <is>
          <t>TANUM</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15494-2021</t>
        </is>
      </c>
      <c r="B7774" s="1" t="n">
        <v>44253</v>
      </c>
      <c r="C7774" s="1" t="n">
        <v>46011</v>
      </c>
      <c r="D7774" t="inlineStr">
        <is>
          <t>VÄSTRA GÖTALANDS LÄN</t>
        </is>
      </c>
      <c r="E7774" t="inlineStr">
        <is>
          <t>MARK</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36815-2025</t>
        </is>
      </c>
      <c r="B7775" s="1" t="n">
        <v>45873.73373842592</v>
      </c>
      <c r="C7775" s="1" t="n">
        <v>46011</v>
      </c>
      <c r="D7775" t="inlineStr">
        <is>
          <t>VÄSTRA GÖTALANDS LÄN</t>
        </is>
      </c>
      <c r="E7775" t="inlineStr">
        <is>
          <t>HERRLJUNGA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11159-2023</t>
        </is>
      </c>
      <c r="B7776" s="1" t="n">
        <v>44987</v>
      </c>
      <c r="C7776" s="1" t="n">
        <v>46011</v>
      </c>
      <c r="D7776" t="inlineStr">
        <is>
          <t>VÄSTRA GÖTALANDS LÄN</t>
        </is>
      </c>
      <c r="E7776" t="inlineStr">
        <is>
          <t>TÖREBODA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36881-2025</t>
        </is>
      </c>
      <c r="B7777" s="1" t="n">
        <v>45874.43638888889</v>
      </c>
      <c r="C7777" s="1" t="n">
        <v>46011</v>
      </c>
      <c r="D7777" t="inlineStr">
        <is>
          <t>VÄSTRA GÖTALANDS LÄN</t>
        </is>
      </c>
      <c r="E7777" t="inlineStr">
        <is>
          <t>BENGTSFORS</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13082-2024</t>
        </is>
      </c>
      <c r="B7778" s="1" t="n">
        <v>45385</v>
      </c>
      <c r="C7778" s="1" t="n">
        <v>46011</v>
      </c>
      <c r="D7778" t="inlineStr">
        <is>
          <t>VÄSTRA GÖTALANDS LÄN</t>
        </is>
      </c>
      <c r="E7778" t="inlineStr">
        <is>
          <t>ULRICEHAMN</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16796-2021</t>
        </is>
      </c>
      <c r="B7779" s="1" t="n">
        <v>44295</v>
      </c>
      <c r="C7779" s="1" t="n">
        <v>46011</v>
      </c>
      <c r="D7779" t="inlineStr">
        <is>
          <t>VÄSTRA GÖTALANDS LÄN</t>
        </is>
      </c>
      <c r="E7779" t="inlineStr">
        <is>
          <t>KARLSBORG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52904-2024</t>
        </is>
      </c>
      <c r="B7780" s="1" t="n">
        <v>45610.69145833333</v>
      </c>
      <c r="C7780" s="1" t="n">
        <v>46011</v>
      </c>
      <c r="D7780" t="inlineStr">
        <is>
          <t>VÄSTRA GÖTALANDS LÄN</t>
        </is>
      </c>
      <c r="E7780" t="inlineStr">
        <is>
          <t>BORÅS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53423-2023</t>
        </is>
      </c>
      <c r="B7781" s="1" t="n">
        <v>45229</v>
      </c>
      <c r="C7781" s="1" t="n">
        <v>46011</v>
      </c>
      <c r="D7781" t="inlineStr">
        <is>
          <t>VÄSTRA GÖTALANDS LÄN</t>
        </is>
      </c>
      <c r="E7781" t="inlineStr">
        <is>
          <t>LYSEKIL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48082-2025</t>
        </is>
      </c>
      <c r="B7782" s="1" t="n">
        <v>45932.77143518518</v>
      </c>
      <c r="C7782" s="1" t="n">
        <v>46011</v>
      </c>
      <c r="D7782" t="inlineStr">
        <is>
          <t>VÄSTRA GÖTALANDS LÄN</t>
        </is>
      </c>
      <c r="E7782" t="inlineStr">
        <is>
          <t>VÅRGÅRDA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48087-2025</t>
        </is>
      </c>
      <c r="B7783" s="1" t="n">
        <v>45932.83972222222</v>
      </c>
      <c r="C7783" s="1" t="n">
        <v>46011</v>
      </c>
      <c r="D7783" t="inlineStr">
        <is>
          <t>VÄSTRA GÖTALANDS LÄN</t>
        </is>
      </c>
      <c r="E7783" t="inlineStr">
        <is>
          <t>FÄRGELANDA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13156-2024</t>
        </is>
      </c>
      <c r="B7784" s="1" t="n">
        <v>45386.3653587963</v>
      </c>
      <c r="C7784" s="1" t="n">
        <v>46011</v>
      </c>
      <c r="D7784" t="inlineStr">
        <is>
          <t>VÄSTRA GÖTALANDS LÄN</t>
        </is>
      </c>
      <c r="E7784" t="inlineStr">
        <is>
          <t>LERUM</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50444-2024</t>
        </is>
      </c>
      <c r="B7785" s="1" t="n">
        <v>45601.42782407408</v>
      </c>
      <c r="C7785" s="1" t="n">
        <v>46011</v>
      </c>
      <c r="D7785" t="inlineStr">
        <is>
          <t>VÄSTRA GÖTALANDS LÄN</t>
        </is>
      </c>
      <c r="E7785" t="inlineStr">
        <is>
          <t>TRANEMO</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33266-2023</t>
        </is>
      </c>
      <c r="B7786" s="1" t="n">
        <v>45127.5749074074</v>
      </c>
      <c r="C7786" s="1" t="n">
        <v>46011</v>
      </c>
      <c r="D7786" t="inlineStr">
        <is>
          <t>VÄSTRA GÖTALANDS LÄN</t>
        </is>
      </c>
      <c r="E7786" t="inlineStr">
        <is>
          <t>MARK</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48671-2025</t>
        </is>
      </c>
      <c r="B7787" s="1" t="n">
        <v>45935</v>
      </c>
      <c r="C7787" s="1" t="n">
        <v>46011</v>
      </c>
      <c r="D7787" t="inlineStr">
        <is>
          <t>VÄSTRA GÖTALANDS LÄN</t>
        </is>
      </c>
      <c r="E7787" t="inlineStr">
        <is>
          <t>TANUM</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12077-2023</t>
        </is>
      </c>
      <c r="B7788" s="1" t="n">
        <v>44997.45451388889</v>
      </c>
      <c r="C7788" s="1" t="n">
        <v>46011</v>
      </c>
      <c r="D7788" t="inlineStr">
        <is>
          <t>VÄSTRA GÖTALANDS LÄN</t>
        </is>
      </c>
      <c r="E7788" t="inlineStr">
        <is>
          <t>TANUM</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6477-2025</t>
        </is>
      </c>
      <c r="B7789" s="1" t="n">
        <v>45699.6043287037</v>
      </c>
      <c r="C7789" s="1" t="n">
        <v>46011</v>
      </c>
      <c r="D7789" t="inlineStr">
        <is>
          <t>VÄSTRA GÖTALANDS LÄN</t>
        </is>
      </c>
      <c r="E7789" t="inlineStr">
        <is>
          <t>MARK</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12215-2025</t>
        </is>
      </c>
      <c r="B7790" s="1" t="n">
        <v>45729.5352662037</v>
      </c>
      <c r="C7790" s="1" t="n">
        <v>46011</v>
      </c>
      <c r="D7790" t="inlineStr">
        <is>
          <t>VÄSTRA GÖTALANDS LÄN</t>
        </is>
      </c>
      <c r="E7790" t="inlineStr">
        <is>
          <t>GULLSPÅNG</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26860-2024</t>
        </is>
      </c>
      <c r="B7791" s="1" t="n">
        <v>45470.60431712963</v>
      </c>
      <c r="C7791" s="1" t="n">
        <v>46011</v>
      </c>
      <c r="D7791" t="inlineStr">
        <is>
          <t>VÄSTRA GÖTALANDS LÄN</t>
        </is>
      </c>
      <c r="E7791" t="inlineStr">
        <is>
          <t>ULRICEHAMN</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32160-2023</t>
        </is>
      </c>
      <c r="B7792" s="1" t="n">
        <v>45119</v>
      </c>
      <c r="C7792" s="1" t="n">
        <v>46011</v>
      </c>
      <c r="D7792" t="inlineStr">
        <is>
          <t>VÄSTRA GÖTALANDS LÄN</t>
        </is>
      </c>
      <c r="E7792" t="inlineStr">
        <is>
          <t>BORÅS</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32182-2023</t>
        </is>
      </c>
      <c r="B7793" s="1" t="n">
        <v>45119</v>
      </c>
      <c r="C7793" s="1" t="n">
        <v>46011</v>
      </c>
      <c r="D7793" t="inlineStr">
        <is>
          <t>VÄSTRA GÖTALANDS LÄN</t>
        </is>
      </c>
      <c r="E7793" t="inlineStr">
        <is>
          <t>MARK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32186-2023</t>
        </is>
      </c>
      <c r="B7794" s="1" t="n">
        <v>45119.8443287037</v>
      </c>
      <c r="C7794" s="1" t="n">
        <v>46011</v>
      </c>
      <c r="D7794" t="inlineStr">
        <is>
          <t>VÄSTRA GÖTALANDS LÄN</t>
        </is>
      </c>
      <c r="E7794" t="inlineStr">
        <is>
          <t>BORÅS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12132-2023</t>
        </is>
      </c>
      <c r="B7795" s="1" t="n">
        <v>44998.45515046296</v>
      </c>
      <c r="C7795" s="1" t="n">
        <v>46011</v>
      </c>
      <c r="D7795" t="inlineStr">
        <is>
          <t>VÄSTRA GÖTALANDS LÄN</t>
        </is>
      </c>
      <c r="E7795" t="inlineStr">
        <is>
          <t>BENGTSFORS</t>
        </is>
      </c>
      <c r="G7795" t="n">
        <v>6.8</v>
      </c>
      <c r="H7795" t="n">
        <v>0</v>
      </c>
      <c r="I7795" t="n">
        <v>0</v>
      </c>
      <c r="J7795" t="n">
        <v>0</v>
      </c>
      <c r="K7795" t="n">
        <v>0</v>
      </c>
      <c r="L7795" t="n">
        <v>0</v>
      </c>
      <c r="M7795" t="n">
        <v>0</v>
      </c>
      <c r="N7795" t="n">
        <v>0</v>
      </c>
      <c r="O7795" t="n">
        <v>0</v>
      </c>
      <c r="P7795" t="n">
        <v>0</v>
      </c>
      <c r="Q7795" t="n">
        <v>0</v>
      </c>
      <c r="R7795" s="2" t="inlineStr"/>
    </row>
    <row r="7796" ht="15" customHeight="1">
      <c r="A7796" t="inlineStr">
        <is>
          <t>A 56699-2025</t>
        </is>
      </c>
      <c r="B7796" s="1" t="n">
        <v>45977.20575231482</v>
      </c>
      <c r="C7796" s="1" t="n">
        <v>46011</v>
      </c>
      <c r="D7796" t="inlineStr">
        <is>
          <t>VÄSTRA GÖTALANDS LÄN</t>
        </is>
      </c>
      <c r="E7796" t="inlineStr">
        <is>
          <t>FÄRGELANDA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58150-2022</t>
        </is>
      </c>
      <c r="B7797" s="1" t="n">
        <v>44900.7941087963</v>
      </c>
      <c r="C7797" s="1" t="n">
        <v>46011</v>
      </c>
      <c r="D7797" t="inlineStr">
        <is>
          <t>VÄSTRA GÖTALANDS LÄN</t>
        </is>
      </c>
      <c r="E7797" t="inlineStr">
        <is>
          <t>TIBRO</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26623-2024</t>
        </is>
      </c>
      <c r="B7798" s="1" t="n">
        <v>45469.75761574074</v>
      </c>
      <c r="C7798" s="1" t="n">
        <v>46011</v>
      </c>
      <c r="D7798" t="inlineStr">
        <is>
          <t>VÄSTRA GÖTALANDS LÄN</t>
        </is>
      </c>
      <c r="E7798" t="inlineStr">
        <is>
          <t>TANUM</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48385-2025</t>
        </is>
      </c>
      <c r="B7799" s="1" t="n">
        <v>45933.84990740741</v>
      </c>
      <c r="C7799" s="1" t="n">
        <v>46011</v>
      </c>
      <c r="D7799" t="inlineStr">
        <is>
          <t>VÄSTRA GÖTALANDS LÄN</t>
        </is>
      </c>
      <c r="E7799" t="inlineStr">
        <is>
          <t>KARLSBORG</t>
        </is>
      </c>
      <c r="F7799" t="inlineStr">
        <is>
          <t>Sveaskog</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12660-2023</t>
        </is>
      </c>
      <c r="B7800" s="1" t="n">
        <v>45000</v>
      </c>
      <c r="C7800" s="1" t="n">
        <v>46011</v>
      </c>
      <c r="D7800" t="inlineStr">
        <is>
          <t>VÄSTRA GÖTALANDS LÄN</t>
        </is>
      </c>
      <c r="E7800" t="inlineStr">
        <is>
          <t>GÖTENE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60768-2024</t>
        </is>
      </c>
      <c r="B7801" s="1" t="n">
        <v>45644.57855324074</v>
      </c>
      <c r="C7801" s="1" t="n">
        <v>46011</v>
      </c>
      <c r="D7801" t="inlineStr">
        <is>
          <t>VÄSTRA GÖTALANDS LÄN</t>
        </is>
      </c>
      <c r="E7801" t="inlineStr">
        <is>
          <t>ESSUNGA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21369-2021</t>
        </is>
      </c>
      <c r="B7802" s="1" t="n">
        <v>44321.3083449074</v>
      </c>
      <c r="C7802" s="1" t="n">
        <v>46011</v>
      </c>
      <c r="D7802" t="inlineStr">
        <is>
          <t>VÄSTRA GÖTALANDS LÄN</t>
        </is>
      </c>
      <c r="E7802" t="inlineStr">
        <is>
          <t>HJO</t>
        </is>
      </c>
      <c r="G7802" t="n">
        <v>10.7</v>
      </c>
      <c r="H7802" t="n">
        <v>0</v>
      </c>
      <c r="I7802" t="n">
        <v>0</v>
      </c>
      <c r="J7802" t="n">
        <v>0</v>
      </c>
      <c r="K7802" t="n">
        <v>0</v>
      </c>
      <c r="L7802" t="n">
        <v>0</v>
      </c>
      <c r="M7802" t="n">
        <v>0</v>
      </c>
      <c r="N7802" t="n">
        <v>0</v>
      </c>
      <c r="O7802" t="n">
        <v>0</v>
      </c>
      <c r="P7802" t="n">
        <v>0</v>
      </c>
      <c r="Q7802" t="n">
        <v>0</v>
      </c>
      <c r="R7802" s="2" t="inlineStr"/>
    </row>
    <row r="7803" ht="15" customHeight="1">
      <c r="A7803" t="inlineStr">
        <is>
          <t>A 60809-2024</t>
        </is>
      </c>
      <c r="B7803" s="1" t="n">
        <v>45644.61414351852</v>
      </c>
      <c r="C7803" s="1" t="n">
        <v>46011</v>
      </c>
      <c r="D7803" t="inlineStr">
        <is>
          <t>VÄSTRA GÖTALANDS LÄN</t>
        </is>
      </c>
      <c r="E7803" t="inlineStr">
        <is>
          <t>MÖLNDAL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20713-2025</t>
        </is>
      </c>
      <c r="B7804" s="1" t="n">
        <v>45776.489375</v>
      </c>
      <c r="C7804" s="1" t="n">
        <v>46011</v>
      </c>
      <c r="D7804" t="inlineStr">
        <is>
          <t>VÄSTRA GÖTALANDS LÄN</t>
        </is>
      </c>
      <c r="E7804" t="inlineStr">
        <is>
          <t>BORÅS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16223-2025</t>
        </is>
      </c>
      <c r="B7805" s="1" t="n">
        <v>45750.63945601852</v>
      </c>
      <c r="C7805" s="1" t="n">
        <v>46011</v>
      </c>
      <c r="D7805" t="inlineStr">
        <is>
          <t>VÄSTRA GÖTALANDS LÄN</t>
        </is>
      </c>
      <c r="E7805" t="inlineStr">
        <is>
          <t>STRÖMSTAD</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25486-2025</t>
        </is>
      </c>
      <c r="B7806" s="1" t="n">
        <v>45803.25846064815</v>
      </c>
      <c r="C7806" s="1" t="n">
        <v>46011</v>
      </c>
      <c r="D7806" t="inlineStr">
        <is>
          <t>VÄSTRA GÖTALANDS LÄN</t>
        </is>
      </c>
      <c r="E7806" t="inlineStr">
        <is>
          <t>SVENLJUNGA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13450-2025</t>
        </is>
      </c>
      <c r="B7807" s="1" t="n">
        <v>45736.37754629629</v>
      </c>
      <c r="C7807" s="1" t="n">
        <v>46011</v>
      </c>
      <c r="D7807" t="inlineStr">
        <is>
          <t>VÄSTRA GÖTALANDS LÄN</t>
        </is>
      </c>
      <c r="E7807" t="inlineStr">
        <is>
          <t>GÖTENE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56929-2025</t>
        </is>
      </c>
      <c r="B7808" s="1" t="n">
        <v>45978.60631944444</v>
      </c>
      <c r="C7808" s="1" t="n">
        <v>46011</v>
      </c>
      <c r="D7808" t="inlineStr">
        <is>
          <t>VÄSTRA GÖTALANDS LÄN</t>
        </is>
      </c>
      <c r="E7808" t="inlineStr">
        <is>
          <t>TRANEMO</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3629-2021</t>
        </is>
      </c>
      <c r="B7809" s="1" t="n">
        <v>44221</v>
      </c>
      <c r="C7809" s="1" t="n">
        <v>46011</v>
      </c>
      <c r="D7809" t="inlineStr">
        <is>
          <t>VÄSTRA GÖTALANDS LÄN</t>
        </is>
      </c>
      <c r="E7809" t="inlineStr">
        <is>
          <t>HÄRRYDA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3633-2021</t>
        </is>
      </c>
      <c r="B7810" s="1" t="n">
        <v>44221</v>
      </c>
      <c r="C7810" s="1" t="n">
        <v>46011</v>
      </c>
      <c r="D7810" t="inlineStr">
        <is>
          <t>VÄSTRA GÖTALANDS LÄN</t>
        </is>
      </c>
      <c r="E7810" t="inlineStr">
        <is>
          <t>HÄRRYDA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48948-2021</t>
        </is>
      </c>
      <c r="B7811" s="1" t="n">
        <v>44453</v>
      </c>
      <c r="C7811" s="1" t="n">
        <v>46011</v>
      </c>
      <c r="D7811" t="inlineStr">
        <is>
          <t>VÄSTRA GÖTALANDS LÄN</t>
        </is>
      </c>
      <c r="E7811" t="inlineStr">
        <is>
          <t>FÄRGELANDA</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31852-2024</t>
        </is>
      </c>
      <c r="B7812" s="1" t="n">
        <v>45509.67528935185</v>
      </c>
      <c r="C7812" s="1" t="n">
        <v>46011</v>
      </c>
      <c r="D7812" t="inlineStr">
        <is>
          <t>VÄSTRA GÖTALANDS LÄN</t>
        </is>
      </c>
      <c r="E7812" t="inlineStr">
        <is>
          <t>BENGTSFORS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44947-2024</t>
        </is>
      </c>
      <c r="B7813" s="1" t="n">
        <v>45575.44268518518</v>
      </c>
      <c r="C7813" s="1" t="n">
        <v>46011</v>
      </c>
      <c r="D7813" t="inlineStr">
        <is>
          <t>VÄSTRA GÖTALANDS LÄN</t>
        </is>
      </c>
      <c r="E7813" t="inlineStr">
        <is>
          <t>VARA</t>
        </is>
      </c>
      <c r="F7813" t="inlineStr">
        <is>
          <t>Sveaskog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23385-2023</t>
        </is>
      </c>
      <c r="B7814" s="1" t="n">
        <v>45076</v>
      </c>
      <c r="C7814" s="1" t="n">
        <v>46011</v>
      </c>
      <c r="D7814" t="inlineStr">
        <is>
          <t>VÄSTRA GÖTALANDS LÄN</t>
        </is>
      </c>
      <c r="E7814" t="inlineStr">
        <is>
          <t>MARK</t>
        </is>
      </c>
      <c r="G7814" t="n">
        <v>11.8</v>
      </c>
      <c r="H7814" t="n">
        <v>0</v>
      </c>
      <c r="I7814" t="n">
        <v>0</v>
      </c>
      <c r="J7814" t="n">
        <v>0</v>
      </c>
      <c r="K7814" t="n">
        <v>0</v>
      </c>
      <c r="L7814" t="n">
        <v>0</v>
      </c>
      <c r="M7814" t="n">
        <v>0</v>
      </c>
      <c r="N7814" t="n">
        <v>0</v>
      </c>
      <c r="O7814" t="n">
        <v>0</v>
      </c>
      <c r="P7814" t="n">
        <v>0</v>
      </c>
      <c r="Q7814" t="n">
        <v>0</v>
      </c>
      <c r="R7814" s="2" t="inlineStr"/>
    </row>
    <row r="7815" ht="15" customHeight="1">
      <c r="A7815" t="inlineStr">
        <is>
          <t>A 32668-2024</t>
        </is>
      </c>
      <c r="B7815" s="1" t="n">
        <v>45514.46949074074</v>
      </c>
      <c r="C7815" s="1" t="n">
        <v>46011</v>
      </c>
      <c r="D7815" t="inlineStr">
        <is>
          <t>VÄSTRA GÖTALANDS LÄN</t>
        </is>
      </c>
      <c r="E7815" t="inlineStr">
        <is>
          <t>SKARA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44982-2024</t>
        </is>
      </c>
      <c r="B7816" s="1" t="n">
        <v>45575.47137731482</v>
      </c>
      <c r="C7816" s="1" t="n">
        <v>46011</v>
      </c>
      <c r="D7816" t="inlineStr">
        <is>
          <t>VÄSTRA GÖTALANDS LÄN</t>
        </is>
      </c>
      <c r="E7816" t="inlineStr">
        <is>
          <t>BENGTSFORS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36652-2025</t>
        </is>
      </c>
      <c r="B7817" s="1" t="n">
        <v>45872.76523148148</v>
      </c>
      <c r="C7817" s="1" t="n">
        <v>46011</v>
      </c>
      <c r="D7817" t="inlineStr">
        <is>
          <t>VÄSTRA GÖTALANDS LÄN</t>
        </is>
      </c>
      <c r="E7817" t="inlineStr">
        <is>
          <t>MARK</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23948-2025</t>
        </is>
      </c>
      <c r="B7818" s="1" t="n">
        <v>45796.34909722222</v>
      </c>
      <c r="C7818" s="1" t="n">
        <v>46011</v>
      </c>
      <c r="D7818" t="inlineStr">
        <is>
          <t>VÄSTRA GÖTALANDS LÄN</t>
        </is>
      </c>
      <c r="E7818" t="inlineStr">
        <is>
          <t>MARK</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44986-2024</t>
        </is>
      </c>
      <c r="B7819" s="1" t="n">
        <v>45575.47695601852</v>
      </c>
      <c r="C7819" s="1" t="n">
        <v>46011</v>
      </c>
      <c r="D7819" t="inlineStr">
        <is>
          <t>VÄSTRA GÖTALANDS LÄN</t>
        </is>
      </c>
      <c r="E7819" t="inlineStr">
        <is>
          <t>SVENLJUNGA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36963-2025</t>
        </is>
      </c>
      <c r="B7820" s="1" t="n">
        <v>45874.63193287037</v>
      </c>
      <c r="C7820" s="1" t="n">
        <v>46011</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56544-2025</t>
        </is>
      </c>
      <c r="B7821" s="1" t="n">
        <v>45975.47628472222</v>
      </c>
      <c r="C7821" s="1" t="n">
        <v>46011</v>
      </c>
      <c r="D7821" t="inlineStr">
        <is>
          <t>VÄSTRA GÖTALANDS LÄN</t>
        </is>
      </c>
      <c r="E7821" t="inlineStr">
        <is>
          <t>BENGTSFORS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50711-2024</t>
        </is>
      </c>
      <c r="B7822" s="1" t="n">
        <v>45602.38179398148</v>
      </c>
      <c r="C7822" s="1" t="n">
        <v>46011</v>
      </c>
      <c r="D7822" t="inlineStr">
        <is>
          <t>VÄSTRA GÖTALANDS LÄN</t>
        </is>
      </c>
      <c r="E7822" t="inlineStr">
        <is>
          <t>HJO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51495-2022</t>
        </is>
      </c>
      <c r="B7823" s="1" t="n">
        <v>44869</v>
      </c>
      <c r="C7823" s="1" t="n">
        <v>46011</v>
      </c>
      <c r="D7823" t="inlineStr">
        <is>
          <t>VÄSTRA GÖTALANDS LÄN</t>
        </is>
      </c>
      <c r="E7823" t="inlineStr">
        <is>
          <t>MARK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51564-2024</t>
        </is>
      </c>
      <c r="B7824" s="1" t="n">
        <v>45604.62042824074</v>
      </c>
      <c r="C7824" s="1" t="n">
        <v>46011</v>
      </c>
      <c r="D7824" t="inlineStr">
        <is>
          <t>VÄSTRA GÖTALANDS LÄN</t>
        </is>
      </c>
      <c r="E7824" t="inlineStr">
        <is>
          <t>BOLLEBYGD</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48344-2024</t>
        </is>
      </c>
      <c r="B7825" s="1" t="n">
        <v>45590.55503472222</v>
      </c>
      <c r="C7825" s="1" t="n">
        <v>46011</v>
      </c>
      <c r="D7825" t="inlineStr">
        <is>
          <t>VÄSTRA GÖTALANDS LÄN</t>
        </is>
      </c>
      <c r="E7825" t="inlineStr">
        <is>
          <t>DALS-ED</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9644-2025</t>
        </is>
      </c>
      <c r="B7826" s="1" t="n">
        <v>45715.8704050926</v>
      </c>
      <c r="C7826" s="1" t="n">
        <v>46011</v>
      </c>
      <c r="D7826" t="inlineStr">
        <is>
          <t>VÄSTRA GÖTALANDS LÄN</t>
        </is>
      </c>
      <c r="E7826" t="inlineStr">
        <is>
          <t>TRANEMO</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31260-2022</t>
        </is>
      </c>
      <c r="B7827" s="1" t="n">
        <v>44771.57344907407</v>
      </c>
      <c r="C7827" s="1" t="n">
        <v>46011</v>
      </c>
      <c r="D7827" t="inlineStr">
        <is>
          <t>VÄSTRA GÖTALANDS LÄN</t>
        </is>
      </c>
      <c r="E7827" t="inlineStr">
        <is>
          <t>VARA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6042-2024</t>
        </is>
      </c>
      <c r="B7828" s="1" t="n">
        <v>45336</v>
      </c>
      <c r="C7828" s="1" t="n">
        <v>46011</v>
      </c>
      <c r="D7828" t="inlineStr">
        <is>
          <t>VÄSTRA GÖTALANDS LÄN</t>
        </is>
      </c>
      <c r="E7828" t="inlineStr">
        <is>
          <t>MÖLNDAL</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32286-2024</t>
        </is>
      </c>
      <c r="B7829" s="1" t="n">
        <v>45512.4183449074</v>
      </c>
      <c r="C7829" s="1" t="n">
        <v>46011</v>
      </c>
      <c r="D7829" t="inlineStr">
        <is>
          <t>VÄSTRA GÖTALANDS LÄN</t>
        </is>
      </c>
      <c r="E7829" t="inlineStr">
        <is>
          <t>ALINGSÅS</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28776-2021</t>
        </is>
      </c>
      <c r="B7830" s="1" t="n">
        <v>44357</v>
      </c>
      <c r="C7830" s="1" t="n">
        <v>46011</v>
      </c>
      <c r="D7830" t="inlineStr">
        <is>
          <t>VÄSTRA GÖTALANDS LÄN</t>
        </is>
      </c>
      <c r="E7830" t="inlineStr">
        <is>
          <t>LIDKÖPING</t>
        </is>
      </c>
      <c r="G7830" t="n">
        <v>27.5</v>
      </c>
      <c r="H7830" t="n">
        <v>0</v>
      </c>
      <c r="I7830" t="n">
        <v>0</v>
      </c>
      <c r="J7830" t="n">
        <v>0</v>
      </c>
      <c r="K7830" t="n">
        <v>0</v>
      </c>
      <c r="L7830" t="n">
        <v>0</v>
      </c>
      <c r="M7830" t="n">
        <v>0</v>
      </c>
      <c r="N7830" t="n">
        <v>0</v>
      </c>
      <c r="O7830" t="n">
        <v>0</v>
      </c>
      <c r="P7830" t="n">
        <v>0</v>
      </c>
      <c r="Q7830" t="n">
        <v>0</v>
      </c>
      <c r="R7830" s="2" t="inlineStr"/>
    </row>
    <row r="7831" ht="15" customHeight="1">
      <c r="A7831" t="inlineStr">
        <is>
          <t>A 28782-2021</t>
        </is>
      </c>
      <c r="B7831" s="1" t="n">
        <v>44357</v>
      </c>
      <c r="C7831" s="1" t="n">
        <v>46011</v>
      </c>
      <c r="D7831" t="inlineStr">
        <is>
          <t>VÄSTRA GÖTALANDS LÄN</t>
        </is>
      </c>
      <c r="E7831" t="inlineStr">
        <is>
          <t>BENGTSFORS</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36816-2025</t>
        </is>
      </c>
      <c r="B7832" s="1" t="n">
        <v>45873.73810185185</v>
      </c>
      <c r="C7832" s="1" t="n">
        <v>46011</v>
      </c>
      <c r="D7832" t="inlineStr">
        <is>
          <t>VÄSTRA GÖTALANDS LÄN</t>
        </is>
      </c>
      <c r="E7832" t="inlineStr">
        <is>
          <t>HERRLJUNGA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36686-2025</t>
        </is>
      </c>
      <c r="B7833" s="1" t="n">
        <v>45872</v>
      </c>
      <c r="C7833" s="1" t="n">
        <v>46011</v>
      </c>
      <c r="D7833" t="inlineStr">
        <is>
          <t>VÄSTRA GÖTALANDS LÄN</t>
        </is>
      </c>
      <c r="E7833" t="inlineStr">
        <is>
          <t>TANUM</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36688-2025</t>
        </is>
      </c>
      <c r="B7834" s="1" t="n">
        <v>45872</v>
      </c>
      <c r="C7834" s="1" t="n">
        <v>46011</v>
      </c>
      <c r="D7834" t="inlineStr">
        <is>
          <t>VÄSTRA GÖTALANDS LÄN</t>
        </is>
      </c>
      <c r="E7834" t="inlineStr">
        <is>
          <t>TANUM</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48407-2025</t>
        </is>
      </c>
      <c r="B7835" s="1" t="n">
        <v>45934.39565972222</v>
      </c>
      <c r="C7835" s="1" t="n">
        <v>46011</v>
      </c>
      <c r="D7835" t="inlineStr">
        <is>
          <t>VÄSTRA GÖTALANDS LÄN</t>
        </is>
      </c>
      <c r="E7835" t="inlineStr">
        <is>
          <t>ULRICEHAMN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48412-2025</t>
        </is>
      </c>
      <c r="B7836" s="1" t="n">
        <v>45934.45826388889</v>
      </c>
      <c r="C7836" s="1" t="n">
        <v>46011</v>
      </c>
      <c r="D7836" t="inlineStr">
        <is>
          <t>VÄSTRA GÖTALANDS LÄN</t>
        </is>
      </c>
      <c r="E7836" t="inlineStr">
        <is>
          <t>ULRICEHAMN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13178-2023</t>
        </is>
      </c>
      <c r="B7837" s="1" t="n">
        <v>45002</v>
      </c>
      <c r="C7837" s="1" t="n">
        <v>46011</v>
      </c>
      <c r="D7837" t="inlineStr">
        <is>
          <t>VÄSTRA GÖTALANDS LÄN</t>
        </is>
      </c>
      <c r="E7837" t="inlineStr">
        <is>
          <t>SKÖVDE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48419-2025</t>
        </is>
      </c>
      <c r="B7838" s="1" t="n">
        <v>45934.58502314815</v>
      </c>
      <c r="C7838" s="1" t="n">
        <v>46011</v>
      </c>
      <c r="D7838" t="inlineStr">
        <is>
          <t>VÄSTRA GÖTALANDS LÄN</t>
        </is>
      </c>
      <c r="E7838" t="inlineStr">
        <is>
          <t>ORUST</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48432-2025</t>
        </is>
      </c>
      <c r="B7839" s="1" t="n">
        <v>45934.89319444444</v>
      </c>
      <c r="C7839" s="1" t="n">
        <v>46011</v>
      </c>
      <c r="D7839" t="inlineStr">
        <is>
          <t>VÄSTRA GÖTALANDS LÄN</t>
        </is>
      </c>
      <c r="E7839" t="inlineStr">
        <is>
          <t>HÄRRYDA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48450-2025</t>
        </is>
      </c>
      <c r="B7840" s="1" t="n">
        <v>45935.78211805555</v>
      </c>
      <c r="C7840" s="1" t="n">
        <v>46011</v>
      </c>
      <c r="D7840" t="inlineStr">
        <is>
          <t>VÄSTRA GÖTALANDS LÄN</t>
        </is>
      </c>
      <c r="E7840" t="inlineStr">
        <is>
          <t>ULRICEHAMN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48074-2025</t>
        </is>
      </c>
      <c r="B7841" s="1" t="n">
        <v>45932</v>
      </c>
      <c r="C7841" s="1" t="n">
        <v>46011</v>
      </c>
      <c r="D7841" t="inlineStr">
        <is>
          <t>VÄSTRA GÖTALANDS LÄN</t>
        </is>
      </c>
      <c r="E7841" t="inlineStr">
        <is>
          <t>VARA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28581-2023</t>
        </is>
      </c>
      <c r="B7842" s="1" t="n">
        <v>45103.55524305555</v>
      </c>
      <c r="C7842" s="1" t="n">
        <v>46011</v>
      </c>
      <c r="D7842" t="inlineStr">
        <is>
          <t>VÄSTRA GÖTALANDS LÄN</t>
        </is>
      </c>
      <c r="E7842" t="inlineStr">
        <is>
          <t>BORÅS</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53412-2023</t>
        </is>
      </c>
      <c r="B7843" s="1" t="n">
        <v>45229</v>
      </c>
      <c r="C7843" s="1" t="n">
        <v>46011</v>
      </c>
      <c r="D7843" t="inlineStr">
        <is>
          <t>VÄSTRA GÖTALANDS LÄN</t>
        </is>
      </c>
      <c r="E7843" t="inlineStr">
        <is>
          <t>MUNKEDAL</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60550-2023</t>
        </is>
      </c>
      <c r="B7844" s="1" t="n">
        <v>45259.84060185185</v>
      </c>
      <c r="C7844" s="1" t="n">
        <v>46011</v>
      </c>
      <c r="D7844" t="inlineStr">
        <is>
          <t>VÄSTRA GÖTALANDS LÄN</t>
        </is>
      </c>
      <c r="E7844" t="inlineStr">
        <is>
          <t>STENUNGSUND</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64058-2023</t>
        </is>
      </c>
      <c r="B7845" s="1" t="n">
        <v>45279.35271990741</v>
      </c>
      <c r="C7845" s="1" t="n">
        <v>46011</v>
      </c>
      <c r="D7845" t="inlineStr">
        <is>
          <t>VÄSTRA GÖTALANDS LÄN</t>
        </is>
      </c>
      <c r="E7845" t="inlineStr">
        <is>
          <t>ALINGSÅS</t>
        </is>
      </c>
      <c r="F7845" t="inlineStr">
        <is>
          <t>Kommuner</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62569-2022</t>
        </is>
      </c>
      <c r="B7846" s="1" t="n">
        <v>44924</v>
      </c>
      <c r="C7846" s="1" t="n">
        <v>46011</v>
      </c>
      <c r="D7846" t="inlineStr">
        <is>
          <t>VÄSTRA GÖTALANDS LÄN</t>
        </is>
      </c>
      <c r="E7846" t="inlineStr">
        <is>
          <t>LIDKÖPING</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61512-2024</t>
        </is>
      </c>
      <c r="B7847" s="1" t="n">
        <v>45646.57030092592</v>
      </c>
      <c r="C7847" s="1" t="n">
        <v>46011</v>
      </c>
      <c r="D7847" t="inlineStr">
        <is>
          <t>VÄSTRA GÖTALANDS LÄN</t>
        </is>
      </c>
      <c r="E7847" t="inlineStr">
        <is>
          <t>MARK</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49142-2024</t>
        </is>
      </c>
      <c r="B7848" s="1" t="n">
        <v>45594.71888888889</v>
      </c>
      <c r="C7848" s="1" t="n">
        <v>46011</v>
      </c>
      <c r="D7848" t="inlineStr">
        <is>
          <t>VÄSTRA GÖTALANDS LÄN</t>
        </is>
      </c>
      <c r="E7848" t="inlineStr">
        <is>
          <t>UDDEVALLA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49157-2024</t>
        </is>
      </c>
      <c r="B7849" s="1" t="n">
        <v>45594.83465277778</v>
      </c>
      <c r="C7849" s="1" t="n">
        <v>46011</v>
      </c>
      <c r="D7849" t="inlineStr">
        <is>
          <t>VÄSTRA GÖTALANDS LÄN</t>
        </is>
      </c>
      <c r="E7849" t="inlineStr">
        <is>
          <t>TIDAHOLM</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36948-2025</t>
        </is>
      </c>
      <c r="B7850" s="1" t="n">
        <v>45874.59667824074</v>
      </c>
      <c r="C7850" s="1" t="n">
        <v>46011</v>
      </c>
      <c r="D7850" t="inlineStr">
        <is>
          <t>VÄSTRA GÖTALANDS LÄN</t>
        </is>
      </c>
      <c r="E7850" t="inlineStr">
        <is>
          <t>MUNKEDAL</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36738-2025</t>
        </is>
      </c>
      <c r="B7851" s="1" t="n">
        <v>45873.53010416667</v>
      </c>
      <c r="C7851" s="1" t="n">
        <v>46011</v>
      </c>
      <c r="D7851" t="inlineStr">
        <is>
          <t>VÄSTRA GÖTALANDS LÄN</t>
        </is>
      </c>
      <c r="E7851" t="inlineStr">
        <is>
          <t>MARIESTAD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59845-2023</t>
        </is>
      </c>
      <c r="B7852" s="1" t="n">
        <v>45257.56932870371</v>
      </c>
      <c r="C7852" s="1" t="n">
        <v>46011</v>
      </c>
      <c r="D7852" t="inlineStr">
        <is>
          <t>VÄSTRA GÖTALANDS LÄN</t>
        </is>
      </c>
      <c r="E7852" t="inlineStr">
        <is>
          <t>KARLSBORG</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34963-2025</t>
        </is>
      </c>
      <c r="B7853" s="1" t="n">
        <v>45849.63219907408</v>
      </c>
      <c r="C7853" s="1" t="n">
        <v>46011</v>
      </c>
      <c r="D7853" t="inlineStr">
        <is>
          <t>VÄSTRA GÖTALANDS LÄN</t>
        </is>
      </c>
      <c r="E7853" t="inlineStr">
        <is>
          <t>TJÖRN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48080-2025</t>
        </is>
      </c>
      <c r="B7854" s="1" t="n">
        <v>45932.7685300926</v>
      </c>
      <c r="C7854" s="1" t="n">
        <v>46011</v>
      </c>
      <c r="D7854" t="inlineStr">
        <is>
          <t>VÄSTRA GÖTALANDS LÄN</t>
        </is>
      </c>
      <c r="E7854" t="inlineStr">
        <is>
          <t>VÅRGÅRDA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16679-2025</t>
        </is>
      </c>
      <c r="B7855" s="1" t="n">
        <v>45754.44922453703</v>
      </c>
      <c r="C7855" s="1" t="n">
        <v>46011</v>
      </c>
      <c r="D7855" t="inlineStr">
        <is>
          <t>VÄSTRA GÖTALANDS LÄN</t>
        </is>
      </c>
      <c r="E7855" t="inlineStr">
        <is>
          <t>HÄRRYDA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36682-2025</t>
        </is>
      </c>
      <c r="B7856" s="1" t="n">
        <v>45873.40289351852</v>
      </c>
      <c r="C7856" s="1" t="n">
        <v>46011</v>
      </c>
      <c r="D7856" t="inlineStr">
        <is>
          <t>VÄSTRA GÖTALANDS LÄN</t>
        </is>
      </c>
      <c r="E7856" t="inlineStr">
        <is>
          <t>BORÅS</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36691-2025</t>
        </is>
      </c>
      <c r="B7857" s="1" t="n">
        <v>45872</v>
      </c>
      <c r="C7857" s="1" t="n">
        <v>46011</v>
      </c>
      <c r="D7857" t="inlineStr">
        <is>
          <t>VÄSTRA GÖTALANDS LÄN</t>
        </is>
      </c>
      <c r="E7857" t="inlineStr">
        <is>
          <t>TANUM</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48129-2025</t>
        </is>
      </c>
      <c r="B7858" s="1" t="n">
        <v>45933.36778935185</v>
      </c>
      <c r="C7858" s="1" t="n">
        <v>46011</v>
      </c>
      <c r="D7858" t="inlineStr">
        <is>
          <t>VÄSTRA GÖTALANDS LÄN</t>
        </is>
      </c>
      <c r="E7858" t="inlineStr">
        <is>
          <t>KARLSBORG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36695-2025</t>
        </is>
      </c>
      <c r="B7859" s="1" t="n">
        <v>45872</v>
      </c>
      <c r="C7859" s="1" t="n">
        <v>46011</v>
      </c>
      <c r="D7859" t="inlineStr">
        <is>
          <t>VÄSTRA GÖTALANDS LÄN</t>
        </is>
      </c>
      <c r="E7859" t="inlineStr">
        <is>
          <t>ORUST</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25078-2023</t>
        </is>
      </c>
      <c r="B7860" s="1" t="n">
        <v>45086</v>
      </c>
      <c r="C7860" s="1" t="n">
        <v>46011</v>
      </c>
      <c r="D7860" t="inlineStr">
        <is>
          <t>VÄSTRA GÖTALANDS LÄN</t>
        </is>
      </c>
      <c r="E7860" t="inlineStr">
        <is>
          <t>ULRICEHAMN</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36722-2025</t>
        </is>
      </c>
      <c r="B7861" s="1" t="n">
        <v>45872</v>
      </c>
      <c r="C7861" s="1" t="n">
        <v>46011</v>
      </c>
      <c r="D7861" t="inlineStr">
        <is>
          <t>VÄSTRA GÖTALANDS LÄN</t>
        </is>
      </c>
      <c r="E7861" t="inlineStr">
        <is>
          <t>ORUST</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36838-2025</t>
        </is>
      </c>
      <c r="B7862" s="1" t="n">
        <v>45874.37011574074</v>
      </c>
      <c r="C7862" s="1" t="n">
        <v>46011</v>
      </c>
      <c r="D7862" t="inlineStr">
        <is>
          <t>VÄSTRA GÖTALANDS LÄN</t>
        </is>
      </c>
      <c r="E7862" t="inlineStr">
        <is>
          <t>VÅRGÅRDA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48148-2025</t>
        </is>
      </c>
      <c r="B7863" s="1" t="n">
        <v>45933.40649305555</v>
      </c>
      <c r="C7863" s="1" t="n">
        <v>46011</v>
      </c>
      <c r="D7863" t="inlineStr">
        <is>
          <t>VÄSTRA GÖTALANDS LÄN</t>
        </is>
      </c>
      <c r="E7863" t="inlineStr">
        <is>
          <t>LYSEKIL</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4049-2025</t>
        </is>
      </c>
      <c r="B7864" s="1" t="n">
        <v>45684.60918981482</v>
      </c>
      <c r="C7864" s="1" t="n">
        <v>46011</v>
      </c>
      <c r="D7864" t="inlineStr">
        <is>
          <t>VÄSTRA GÖTALANDS LÄN</t>
        </is>
      </c>
      <c r="E7864" t="inlineStr">
        <is>
          <t>MUNKEDAL</t>
        </is>
      </c>
      <c r="F7864" t="inlineStr">
        <is>
          <t>Kommuner</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36742-2025</t>
        </is>
      </c>
      <c r="B7865" s="1" t="n">
        <v>45873.53761574074</v>
      </c>
      <c r="C7865" s="1" t="n">
        <v>46011</v>
      </c>
      <c r="D7865" t="inlineStr">
        <is>
          <t>VÄSTRA GÖTALANDS LÄN</t>
        </is>
      </c>
      <c r="E7865" t="inlineStr">
        <is>
          <t>TANUM</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40064-2023</t>
        </is>
      </c>
      <c r="B7866" s="1" t="n">
        <v>45168.8190625</v>
      </c>
      <c r="C7866" s="1" t="n">
        <v>46011</v>
      </c>
      <c r="D7866" t="inlineStr">
        <is>
          <t>VÄSTRA GÖTALANDS LÄN</t>
        </is>
      </c>
      <c r="E7866" t="inlineStr">
        <is>
          <t>MELLERUD</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56841-2025</t>
        </is>
      </c>
      <c r="B7867" s="1" t="n">
        <v>45978.48229166667</v>
      </c>
      <c r="C7867" s="1" t="n">
        <v>46011</v>
      </c>
      <c r="D7867" t="inlineStr">
        <is>
          <t>VÄSTRA GÖTALANDS LÄN</t>
        </is>
      </c>
      <c r="E7867" t="inlineStr">
        <is>
          <t>LIDKÖPING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36374-2025</t>
        </is>
      </c>
      <c r="B7868" s="1" t="n">
        <v>45868</v>
      </c>
      <c r="C7868" s="1" t="n">
        <v>46011</v>
      </c>
      <c r="D7868" t="inlineStr">
        <is>
          <t>VÄSTRA GÖTALANDS LÄN</t>
        </is>
      </c>
      <c r="E7868" t="inlineStr">
        <is>
          <t>MARK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48153-2025</t>
        </is>
      </c>
      <c r="B7869" s="1" t="n">
        <v>45933.41109953704</v>
      </c>
      <c r="C7869" s="1" t="n">
        <v>46011</v>
      </c>
      <c r="D7869" t="inlineStr">
        <is>
          <t>VÄSTRA GÖTALANDS LÄN</t>
        </is>
      </c>
      <c r="E7869" t="inlineStr">
        <is>
          <t>LYSEKIL</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34774-2023</t>
        </is>
      </c>
      <c r="B7870" s="1" t="n">
        <v>45140</v>
      </c>
      <c r="C7870" s="1" t="n">
        <v>46011</v>
      </c>
      <c r="D7870" t="inlineStr">
        <is>
          <t>VÄSTRA GÖTALANDS LÄN</t>
        </is>
      </c>
      <c r="E7870" t="inlineStr">
        <is>
          <t>ULRICEHAMN</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59936-2024</t>
        </is>
      </c>
      <c r="B7871" s="1" t="n">
        <v>45642.32462962963</v>
      </c>
      <c r="C7871" s="1" t="n">
        <v>46011</v>
      </c>
      <c r="D7871" t="inlineStr">
        <is>
          <t>VÄSTRA GÖTALANDS LÄN</t>
        </is>
      </c>
      <c r="E7871" t="inlineStr">
        <is>
          <t>FALKÖPING</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64194-2023</t>
        </is>
      </c>
      <c r="B7872" s="1" t="n">
        <v>45279.68320601852</v>
      </c>
      <c r="C7872" s="1" t="n">
        <v>46011</v>
      </c>
      <c r="D7872" t="inlineStr">
        <is>
          <t>VÄSTRA GÖTALANDS LÄN</t>
        </is>
      </c>
      <c r="E7872" t="inlineStr">
        <is>
          <t>ALINGSÅS</t>
        </is>
      </c>
      <c r="F7872" t="inlineStr">
        <is>
          <t>Kommuner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36887-2025</t>
        </is>
      </c>
      <c r="B7873" s="1" t="n">
        <v>45874.44613425926</v>
      </c>
      <c r="C7873" s="1" t="n">
        <v>46011</v>
      </c>
      <c r="D7873" t="inlineStr">
        <is>
          <t>VÄSTRA GÖTALANDS LÄN</t>
        </is>
      </c>
      <c r="E7873" t="inlineStr">
        <is>
          <t>TANUM</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34859-2023</t>
        </is>
      </c>
      <c r="B7874" s="1" t="n">
        <v>45142.30226851852</v>
      </c>
      <c r="C7874" s="1" t="n">
        <v>46011</v>
      </c>
      <c r="D7874" t="inlineStr">
        <is>
          <t>VÄSTRA GÖTALANDS LÄN</t>
        </is>
      </c>
      <c r="E7874" t="inlineStr">
        <is>
          <t>HJO</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54102-2024</t>
        </is>
      </c>
      <c r="B7875" s="1" t="n">
        <v>45616.52491898148</v>
      </c>
      <c r="C7875" s="1" t="n">
        <v>46011</v>
      </c>
      <c r="D7875" t="inlineStr">
        <is>
          <t>VÄSTRA GÖTALANDS LÄN</t>
        </is>
      </c>
      <c r="E7875" t="inlineStr">
        <is>
          <t>FALKÖPING</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56886-2025</t>
        </is>
      </c>
      <c r="B7876" s="1" t="n">
        <v>45975</v>
      </c>
      <c r="C7876" s="1" t="n">
        <v>46011</v>
      </c>
      <c r="D7876" t="inlineStr">
        <is>
          <t>VÄSTRA GÖTALANDS LÄN</t>
        </is>
      </c>
      <c r="E7876" t="inlineStr">
        <is>
          <t>VÄNERSBORG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48572-2025</t>
        </is>
      </c>
      <c r="B7877" s="1" t="n">
        <v>45936.44983796297</v>
      </c>
      <c r="C7877" s="1" t="n">
        <v>46011</v>
      </c>
      <c r="D7877" t="inlineStr">
        <is>
          <t>VÄSTRA GÖTALANDS LÄN</t>
        </is>
      </c>
      <c r="E7877" t="inlineStr">
        <is>
          <t>TANUM</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7958-2025</t>
        </is>
      </c>
      <c r="B7878" s="1" t="n">
        <v>45707.43508101852</v>
      </c>
      <c r="C7878" s="1" t="n">
        <v>46011</v>
      </c>
      <c r="D7878" t="inlineStr">
        <is>
          <t>VÄSTRA GÖTALANDS LÄN</t>
        </is>
      </c>
      <c r="E7878" t="inlineStr">
        <is>
          <t>MARK</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181-2025</t>
        </is>
      </c>
      <c r="B7879" s="1" t="n">
        <v>45659.70703703703</v>
      </c>
      <c r="C7879" s="1" t="n">
        <v>46011</v>
      </c>
      <c r="D7879" t="inlineStr">
        <is>
          <t>VÄSTRA GÖTALANDS LÄN</t>
        </is>
      </c>
      <c r="E7879" t="inlineStr">
        <is>
          <t>TANUM</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12138-2023</t>
        </is>
      </c>
      <c r="B7880" s="1" t="n">
        <v>44998.46474537037</v>
      </c>
      <c r="C7880" s="1" t="n">
        <v>46011</v>
      </c>
      <c r="D7880" t="inlineStr">
        <is>
          <t>VÄSTRA GÖTALANDS LÄN</t>
        </is>
      </c>
      <c r="E7880" t="inlineStr">
        <is>
          <t>MARK</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56809-2025</t>
        </is>
      </c>
      <c r="B7881" s="1" t="n">
        <v>45978.45096064815</v>
      </c>
      <c r="C7881" s="1" t="n">
        <v>46011</v>
      </c>
      <c r="D7881" t="inlineStr">
        <is>
          <t>VÄSTRA GÖTALANDS LÄN</t>
        </is>
      </c>
      <c r="E7881" t="inlineStr">
        <is>
          <t>MELLERUD</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36661-2025</t>
        </is>
      </c>
      <c r="B7882" s="1" t="n">
        <v>45873.36136574074</v>
      </c>
      <c r="C7882" s="1" t="n">
        <v>46011</v>
      </c>
      <c r="D7882" t="inlineStr">
        <is>
          <t>VÄSTRA GÖTALANDS LÄN</t>
        </is>
      </c>
      <c r="E7882" t="inlineStr">
        <is>
          <t>SVENLJUNGA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646-2025</t>
        </is>
      </c>
      <c r="B7883" s="1" t="n">
        <v>45664.65659722222</v>
      </c>
      <c r="C7883" s="1" t="n">
        <v>46011</v>
      </c>
      <c r="D7883" t="inlineStr">
        <is>
          <t>VÄSTRA GÖTALANDS LÄN</t>
        </is>
      </c>
      <c r="E7883" t="inlineStr">
        <is>
          <t>ULRICEHAMN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56261-2025</t>
        </is>
      </c>
      <c r="B7884" s="1" t="n">
        <v>45974</v>
      </c>
      <c r="C7884" s="1" t="n">
        <v>46011</v>
      </c>
      <c r="D7884" t="inlineStr">
        <is>
          <t>VÄSTRA GÖTALANDS LÄN</t>
        </is>
      </c>
      <c r="E7884" t="inlineStr">
        <is>
          <t>VÄNERSBORG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45101-2021</t>
        </is>
      </c>
      <c r="B7885" s="1" t="n">
        <v>44439.40950231482</v>
      </c>
      <c r="C7885" s="1" t="n">
        <v>46011</v>
      </c>
      <c r="D7885" t="inlineStr">
        <is>
          <t>VÄSTRA GÖTALANDS LÄN</t>
        </is>
      </c>
      <c r="E7885" t="inlineStr">
        <is>
          <t>GULLSPÅNG</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35246-2024</t>
        </is>
      </c>
      <c r="B7886" s="1" t="n">
        <v>45530.56388888889</v>
      </c>
      <c r="C7886" s="1" t="n">
        <v>46011</v>
      </c>
      <c r="D7886" t="inlineStr">
        <is>
          <t>VÄSTRA GÖTALANDS LÄN</t>
        </is>
      </c>
      <c r="E7886" t="inlineStr">
        <is>
          <t>BENGTSFORS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21587-2023</t>
        </is>
      </c>
      <c r="B7887" s="1" t="n">
        <v>45063.60025462963</v>
      </c>
      <c r="C7887" s="1" t="n">
        <v>46011</v>
      </c>
      <c r="D7887" t="inlineStr">
        <is>
          <t>VÄSTRA GÖTALANDS LÄN</t>
        </is>
      </c>
      <c r="E7887" t="inlineStr">
        <is>
          <t>MARK</t>
        </is>
      </c>
      <c r="G7887" t="n">
        <v>10.4</v>
      </c>
      <c r="H7887" t="n">
        <v>0</v>
      </c>
      <c r="I7887" t="n">
        <v>0</v>
      </c>
      <c r="J7887" t="n">
        <v>0</v>
      </c>
      <c r="K7887" t="n">
        <v>0</v>
      </c>
      <c r="L7887" t="n">
        <v>0</v>
      </c>
      <c r="M7887" t="n">
        <v>0</v>
      </c>
      <c r="N7887" t="n">
        <v>0</v>
      </c>
      <c r="O7887" t="n">
        <v>0</v>
      </c>
      <c r="P7887" t="n">
        <v>0</v>
      </c>
      <c r="Q7887" t="n">
        <v>0</v>
      </c>
      <c r="R7887" s="2" t="inlineStr"/>
    </row>
    <row r="7888" ht="15" customHeight="1">
      <c r="A7888" t="inlineStr">
        <is>
          <t>A 41554-2024</t>
        </is>
      </c>
      <c r="B7888" s="1" t="n">
        <v>45560</v>
      </c>
      <c r="C7888" s="1" t="n">
        <v>46011</v>
      </c>
      <c r="D7888" t="inlineStr">
        <is>
          <t>VÄSTRA GÖTALANDS LÄN</t>
        </is>
      </c>
      <c r="E7888" t="inlineStr">
        <is>
          <t>TROLLHÄTTAN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43185-2024</t>
        </is>
      </c>
      <c r="B7889" s="1" t="n">
        <v>45567.66493055555</v>
      </c>
      <c r="C7889" s="1" t="n">
        <v>46011</v>
      </c>
      <c r="D7889" t="inlineStr">
        <is>
          <t>VÄSTRA GÖTALANDS LÄN</t>
        </is>
      </c>
      <c r="E7889" t="inlineStr">
        <is>
          <t>BORÅS</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8886-2025</t>
        </is>
      </c>
      <c r="B7890" s="1" t="n">
        <v>45713.39217592592</v>
      </c>
      <c r="C7890" s="1" t="n">
        <v>46011</v>
      </c>
      <c r="D7890" t="inlineStr">
        <is>
          <t>VÄSTRA GÖTALANDS LÄN</t>
        </is>
      </c>
      <c r="E7890" t="inlineStr">
        <is>
          <t>MARK</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47360-2025</t>
        </is>
      </c>
      <c r="B7891" s="1" t="n">
        <v>45930</v>
      </c>
      <c r="C7891" s="1" t="n">
        <v>46011</v>
      </c>
      <c r="D7891" t="inlineStr">
        <is>
          <t>VÄSTRA GÖTALANDS LÄN</t>
        </is>
      </c>
      <c r="E7891" t="inlineStr">
        <is>
          <t>GULLSPÅNG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56523-2025</t>
        </is>
      </c>
      <c r="B7892" s="1" t="n">
        <v>45975.46405092593</v>
      </c>
      <c r="C7892" s="1" t="n">
        <v>46011</v>
      </c>
      <c r="D7892" t="inlineStr">
        <is>
          <t>VÄSTRA GÖTALANDS LÄN</t>
        </is>
      </c>
      <c r="E7892" t="inlineStr">
        <is>
          <t>TROLLHÄTTAN</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8561-2024</t>
        </is>
      </c>
      <c r="B7893" s="1" t="n">
        <v>45351</v>
      </c>
      <c r="C7893" s="1" t="n">
        <v>46011</v>
      </c>
      <c r="D7893" t="inlineStr">
        <is>
          <t>VÄSTRA GÖTALANDS LÄN</t>
        </is>
      </c>
      <c r="E7893" t="inlineStr">
        <is>
          <t>MUNKEDAL</t>
        </is>
      </c>
      <c r="F7893" t="inlineStr">
        <is>
          <t>Övriga Aktiebolag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56672-2025</t>
        </is>
      </c>
      <c r="B7894" s="1" t="n">
        <v>45975.69769675926</v>
      </c>
      <c r="C7894" s="1" t="n">
        <v>46011</v>
      </c>
      <c r="D7894" t="inlineStr">
        <is>
          <t>VÄSTRA GÖTALANDS LÄN</t>
        </is>
      </c>
      <c r="E7894" t="inlineStr">
        <is>
          <t>LERUM</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13074-2024</t>
        </is>
      </c>
      <c r="B7895" s="1" t="n">
        <v>45385.65472222222</v>
      </c>
      <c r="C7895" s="1" t="n">
        <v>46011</v>
      </c>
      <c r="D7895" t="inlineStr">
        <is>
          <t>VÄSTRA GÖTALANDS LÄN</t>
        </is>
      </c>
      <c r="E7895" t="inlineStr">
        <is>
          <t>BENGTSFORS</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8268-2025</t>
        </is>
      </c>
      <c r="B7896" s="1" t="n">
        <v>45708.51210648148</v>
      </c>
      <c r="C7896" s="1" t="n">
        <v>46011</v>
      </c>
      <c r="D7896" t="inlineStr">
        <is>
          <t>VÄSTRA GÖTALANDS LÄN</t>
        </is>
      </c>
      <c r="E7896" t="inlineStr">
        <is>
          <t>VÅRGÅRDA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23331-2021</t>
        </is>
      </c>
      <c r="B7897" s="1" t="n">
        <v>44333.51732638889</v>
      </c>
      <c r="C7897" s="1" t="n">
        <v>46011</v>
      </c>
      <c r="D7897" t="inlineStr">
        <is>
          <t>VÄSTRA GÖTALANDS LÄN</t>
        </is>
      </c>
      <c r="E7897" t="inlineStr">
        <is>
          <t>ULRICEHAMN</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8321-2025</t>
        </is>
      </c>
      <c r="B7898" s="1" t="n">
        <v>45708.62912037037</v>
      </c>
      <c r="C7898" s="1" t="n">
        <v>46011</v>
      </c>
      <c r="D7898" t="inlineStr">
        <is>
          <t>VÄSTRA GÖTALANDS LÄN</t>
        </is>
      </c>
      <c r="E7898" t="inlineStr">
        <is>
          <t>MARIESTAD</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36858-2025</t>
        </is>
      </c>
      <c r="B7899" s="1" t="n">
        <v>45874.40502314815</v>
      </c>
      <c r="C7899" s="1" t="n">
        <v>46011</v>
      </c>
      <c r="D7899" t="inlineStr">
        <is>
          <t>VÄSTRA GÖTALANDS LÄN</t>
        </is>
      </c>
      <c r="E7899" t="inlineStr">
        <is>
          <t>TANUM</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56579-2025</t>
        </is>
      </c>
      <c r="B7900" s="1" t="n">
        <v>45974</v>
      </c>
      <c r="C7900" s="1" t="n">
        <v>46011</v>
      </c>
      <c r="D7900" t="inlineStr">
        <is>
          <t>VÄSTRA GÖTALANDS LÄN</t>
        </is>
      </c>
      <c r="E7900" t="inlineStr">
        <is>
          <t>MUNKEDAL</t>
        </is>
      </c>
      <c r="F7900" t="inlineStr">
        <is>
          <t>Övriga Aktiebolag</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22789-2022</t>
        </is>
      </c>
      <c r="B7901" s="1" t="n">
        <v>44715</v>
      </c>
      <c r="C7901" s="1" t="n">
        <v>46011</v>
      </c>
      <c r="D7901" t="inlineStr">
        <is>
          <t>VÄSTRA GÖTALANDS LÄN</t>
        </is>
      </c>
      <c r="E7901" t="inlineStr">
        <is>
          <t>TIBRO</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56585-2025</t>
        </is>
      </c>
      <c r="B7902" s="1" t="n">
        <v>45975.55197916667</v>
      </c>
      <c r="C7902" s="1" t="n">
        <v>46011</v>
      </c>
      <c r="D7902" t="inlineStr">
        <is>
          <t>VÄSTRA GÖTALANDS LÄN</t>
        </is>
      </c>
      <c r="E7902" t="inlineStr">
        <is>
          <t>UDDEVALLA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60255-2024</t>
        </is>
      </c>
      <c r="B7903" s="1" t="n">
        <v>45642</v>
      </c>
      <c r="C7903" s="1" t="n">
        <v>46011</v>
      </c>
      <c r="D7903" t="inlineStr">
        <is>
          <t>VÄSTRA GÖTALANDS LÄN</t>
        </is>
      </c>
      <c r="E7903" t="inlineStr">
        <is>
          <t>LYSEKIL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58654-2024</t>
        </is>
      </c>
      <c r="B7904" s="1" t="n">
        <v>45635.59962962963</v>
      </c>
      <c r="C7904" s="1" t="n">
        <v>46011</v>
      </c>
      <c r="D7904" t="inlineStr">
        <is>
          <t>VÄSTRA GÖTALANDS LÄN</t>
        </is>
      </c>
      <c r="E7904" t="inlineStr">
        <is>
          <t>TANUM</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48100-2025</t>
        </is>
      </c>
      <c r="B7905" s="1" t="n">
        <v>45933.33457175926</v>
      </c>
      <c r="C7905" s="1" t="n">
        <v>46011</v>
      </c>
      <c r="D7905" t="inlineStr">
        <is>
          <t>VÄSTRA GÖTALANDS LÄN</t>
        </is>
      </c>
      <c r="E7905" t="inlineStr">
        <is>
          <t>VÅRGÅRDA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48106-2025</t>
        </is>
      </c>
      <c r="B7906" s="1" t="n">
        <v>45933</v>
      </c>
      <c r="C7906" s="1" t="n">
        <v>46011</v>
      </c>
      <c r="D7906" t="inlineStr">
        <is>
          <t>VÄSTRA GÖTALANDS LÄN</t>
        </is>
      </c>
      <c r="E7906" t="inlineStr">
        <is>
          <t>SKARA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43474-2024</t>
        </is>
      </c>
      <c r="B7907" s="1" t="n">
        <v>45568.7375925926</v>
      </c>
      <c r="C7907" s="1" t="n">
        <v>46011</v>
      </c>
      <c r="D7907" t="inlineStr">
        <is>
          <t>VÄSTRA GÖTALANDS LÄN</t>
        </is>
      </c>
      <c r="E7907" t="inlineStr">
        <is>
          <t>MARK</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48227-2025</t>
        </is>
      </c>
      <c r="B7908" s="1" t="n">
        <v>45933.513125</v>
      </c>
      <c r="C7908" s="1" t="n">
        <v>46011</v>
      </c>
      <c r="D7908" t="inlineStr">
        <is>
          <t>VÄSTRA GÖTALANDS LÄN</t>
        </is>
      </c>
      <c r="E7908" t="inlineStr">
        <is>
          <t>TRANEMO</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56854-2025</t>
        </is>
      </c>
      <c r="B7909" s="1" t="n">
        <v>45978.49476851852</v>
      </c>
      <c r="C7909" s="1" t="n">
        <v>46011</v>
      </c>
      <c r="D7909" t="inlineStr">
        <is>
          <t>VÄSTRA GÖTALANDS LÄN</t>
        </is>
      </c>
      <c r="E7909" t="inlineStr">
        <is>
          <t>LILLA EDET</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56418-2025</t>
        </is>
      </c>
      <c r="B7910" s="1" t="n">
        <v>45975.34393518518</v>
      </c>
      <c r="C7910" s="1" t="n">
        <v>46011</v>
      </c>
      <c r="D7910" t="inlineStr">
        <is>
          <t>VÄSTRA GÖTALANDS LÄN</t>
        </is>
      </c>
      <c r="E7910" t="inlineStr">
        <is>
          <t>ULRICEHAMN</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52631-2024</t>
        </is>
      </c>
      <c r="B7911" s="1" t="n">
        <v>45610.30113425926</v>
      </c>
      <c r="C7911" s="1" t="n">
        <v>46011</v>
      </c>
      <c r="D7911" t="inlineStr">
        <is>
          <t>VÄSTRA GÖTALANDS LÄN</t>
        </is>
      </c>
      <c r="E7911" t="inlineStr">
        <is>
          <t>TIBRO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53910-2024</t>
        </is>
      </c>
      <c r="B7912" s="1" t="n">
        <v>45615.72082175926</v>
      </c>
      <c r="C7912" s="1" t="n">
        <v>46011</v>
      </c>
      <c r="D7912" t="inlineStr">
        <is>
          <t>VÄSTRA GÖTALANDS LÄN</t>
        </is>
      </c>
      <c r="E7912" t="inlineStr">
        <is>
          <t>DALS-ED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12938-2022</t>
        </is>
      </c>
      <c r="B7913" s="1" t="n">
        <v>44642</v>
      </c>
      <c r="C7913" s="1" t="n">
        <v>46011</v>
      </c>
      <c r="D7913" t="inlineStr">
        <is>
          <t>VÄSTRA GÖTALANDS LÄN</t>
        </is>
      </c>
      <c r="E7913" t="inlineStr">
        <is>
          <t>VARA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36659-2022</t>
        </is>
      </c>
      <c r="B7914" s="1" t="n">
        <v>44804</v>
      </c>
      <c r="C7914" s="1" t="n">
        <v>46011</v>
      </c>
      <c r="D7914" t="inlineStr">
        <is>
          <t>VÄSTRA GÖTALANDS LÄN</t>
        </is>
      </c>
      <c r="E7914" t="inlineStr">
        <is>
          <t>MARK</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26428-2022</t>
        </is>
      </c>
      <c r="B7915" s="1" t="n">
        <v>44736.31748842593</v>
      </c>
      <c r="C7915" s="1" t="n">
        <v>46011</v>
      </c>
      <c r="D7915" t="inlineStr">
        <is>
          <t>VÄSTRA GÖTALANDS LÄN</t>
        </is>
      </c>
      <c r="E7915" t="inlineStr">
        <is>
          <t>MELLERUD</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20707-2025</t>
        </is>
      </c>
      <c r="B7916" s="1" t="n">
        <v>45776.48423611111</v>
      </c>
      <c r="C7916" s="1" t="n">
        <v>46011</v>
      </c>
      <c r="D7916" t="inlineStr">
        <is>
          <t>VÄSTRA GÖTALANDS LÄN</t>
        </is>
      </c>
      <c r="E7916" t="inlineStr">
        <is>
          <t>MARK</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17756-2021</t>
        </is>
      </c>
      <c r="B7917" s="1" t="n">
        <v>44300.57024305555</v>
      </c>
      <c r="C7917" s="1" t="n">
        <v>46011</v>
      </c>
      <c r="D7917" t="inlineStr">
        <is>
          <t>VÄSTRA GÖTALANDS LÄN</t>
        </is>
      </c>
      <c r="E7917" t="inlineStr">
        <is>
          <t>HERRLJUNGA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17767-2021</t>
        </is>
      </c>
      <c r="B7918" s="1" t="n">
        <v>44300</v>
      </c>
      <c r="C7918" s="1" t="n">
        <v>46011</v>
      </c>
      <c r="D7918" t="inlineStr">
        <is>
          <t>VÄSTRA GÖTALANDS LÄN</t>
        </is>
      </c>
      <c r="E7918" t="inlineStr">
        <is>
          <t>BENGTSFORS</t>
        </is>
      </c>
      <c r="F7918" t="inlineStr">
        <is>
          <t>Kyrkan</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17860-2021</t>
        </is>
      </c>
      <c r="B7919" s="1" t="n">
        <v>44301.28643518518</v>
      </c>
      <c r="C7919" s="1" t="n">
        <v>46011</v>
      </c>
      <c r="D7919" t="inlineStr">
        <is>
          <t>VÄSTRA GÖTALANDS LÄN</t>
        </is>
      </c>
      <c r="E7919" t="inlineStr">
        <is>
          <t>HÄRRYDA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21332-2024</t>
        </is>
      </c>
      <c r="B7920" s="1" t="n">
        <v>45440.87398148148</v>
      </c>
      <c r="C7920" s="1" t="n">
        <v>46011</v>
      </c>
      <c r="D7920" t="inlineStr">
        <is>
          <t>VÄSTRA GÖTALANDS LÄN</t>
        </is>
      </c>
      <c r="E7920" t="inlineStr">
        <is>
          <t>UDDEVALLA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56479-2024</t>
        </is>
      </c>
      <c r="B7921" s="1" t="n">
        <v>45624</v>
      </c>
      <c r="C7921" s="1" t="n">
        <v>46011</v>
      </c>
      <c r="D7921" t="inlineStr">
        <is>
          <t>VÄSTRA GÖTALANDS LÄN</t>
        </is>
      </c>
      <c r="E7921" t="inlineStr">
        <is>
          <t>GULLSPÅNG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13026-2023</t>
        </is>
      </c>
      <c r="B7922" s="1" t="n">
        <v>45002.33766203704</v>
      </c>
      <c r="C7922" s="1" t="n">
        <v>46011</v>
      </c>
      <c r="D7922" t="inlineStr">
        <is>
          <t>VÄSTRA GÖTALANDS LÄN</t>
        </is>
      </c>
      <c r="E7922" t="inlineStr">
        <is>
          <t>DALS-ED</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13077-2023</t>
        </is>
      </c>
      <c r="B7923" s="1" t="n">
        <v>45002.40217592593</v>
      </c>
      <c r="C7923" s="1" t="n">
        <v>46011</v>
      </c>
      <c r="D7923" t="inlineStr">
        <is>
          <t>VÄSTRA GÖTALANDS LÄN</t>
        </is>
      </c>
      <c r="E7923" t="inlineStr">
        <is>
          <t>KARLSBORG</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56684-2024</t>
        </is>
      </c>
      <c r="B7924" s="1" t="n">
        <v>45627.58121527778</v>
      </c>
      <c r="C7924" s="1" t="n">
        <v>46011</v>
      </c>
      <c r="D7924" t="inlineStr">
        <is>
          <t>VÄSTRA GÖTALANDS LÄN</t>
        </is>
      </c>
      <c r="E7924" t="inlineStr">
        <is>
          <t>TÖREBODA</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36671-2025</t>
        </is>
      </c>
      <c r="B7925" s="1" t="n">
        <v>45873.38961805555</v>
      </c>
      <c r="C7925" s="1" t="n">
        <v>46011</v>
      </c>
      <c r="D7925" t="inlineStr">
        <is>
          <t>VÄSTRA GÖTALANDS LÄN</t>
        </is>
      </c>
      <c r="E7925" t="inlineStr">
        <is>
          <t>ÅMÅL</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23581-2021</t>
        </is>
      </c>
      <c r="B7926" s="1" t="n">
        <v>44334</v>
      </c>
      <c r="C7926" s="1" t="n">
        <v>46011</v>
      </c>
      <c r="D7926" t="inlineStr">
        <is>
          <t>VÄSTRA GÖTALANDS LÄN</t>
        </is>
      </c>
      <c r="E7926" t="inlineStr">
        <is>
          <t>ULRICEHAMN</t>
        </is>
      </c>
      <c r="F7926" t="inlineStr">
        <is>
          <t>Kommuner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23650-2021</t>
        </is>
      </c>
      <c r="B7927" s="1" t="n">
        <v>44334.59101851852</v>
      </c>
      <c r="C7927" s="1" t="n">
        <v>46011</v>
      </c>
      <c r="D7927" t="inlineStr">
        <is>
          <t>VÄSTRA GÖTALANDS LÄN</t>
        </is>
      </c>
      <c r="E7927" t="inlineStr">
        <is>
          <t>BENGTSFORS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28862-2022</t>
        </is>
      </c>
      <c r="B7928" s="1" t="n">
        <v>44749.50611111111</v>
      </c>
      <c r="C7928" s="1" t="n">
        <v>46011</v>
      </c>
      <c r="D7928" t="inlineStr">
        <is>
          <t>VÄSTRA GÖTALANDS LÄN</t>
        </is>
      </c>
      <c r="E7928" t="inlineStr">
        <is>
          <t>ÅMÅL</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49522-2024</t>
        </is>
      </c>
      <c r="B7929" s="1" t="n">
        <v>45596.39893518519</v>
      </c>
      <c r="C7929" s="1" t="n">
        <v>46011</v>
      </c>
      <c r="D7929" t="inlineStr">
        <is>
          <t>VÄSTRA GÖTALANDS LÄN</t>
        </is>
      </c>
      <c r="E7929" t="inlineStr">
        <is>
          <t>ALINGSÅS</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42118-2023</t>
        </is>
      </c>
      <c r="B7930" s="1" t="n">
        <v>45174</v>
      </c>
      <c r="C7930" s="1" t="n">
        <v>46011</v>
      </c>
      <c r="D7930" t="inlineStr">
        <is>
          <t>VÄSTRA GÖTALANDS LÄN</t>
        </is>
      </c>
      <c r="E7930" t="inlineStr">
        <is>
          <t>TRANEMO</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56376-2025</t>
        </is>
      </c>
      <c r="B7931" s="1" t="n">
        <v>45974</v>
      </c>
      <c r="C7931" s="1" t="n">
        <v>46011</v>
      </c>
      <c r="D7931" t="inlineStr">
        <is>
          <t>VÄSTRA GÖTALANDS LÄN</t>
        </is>
      </c>
      <c r="E7931" t="inlineStr">
        <is>
          <t>BORÅS</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36961-2025</t>
        </is>
      </c>
      <c r="B7932" s="1" t="n">
        <v>45874.62365740741</v>
      </c>
      <c r="C7932" s="1" t="n">
        <v>46011</v>
      </c>
      <c r="D7932" t="inlineStr">
        <is>
          <t>VÄSTRA GÖTALANDS LÄN</t>
        </is>
      </c>
      <c r="E7932" t="inlineStr">
        <is>
          <t>HJO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62073-2024</t>
        </is>
      </c>
      <c r="B7933" s="1" t="n">
        <v>45656.41005787037</v>
      </c>
      <c r="C7933" s="1" t="n">
        <v>46011</v>
      </c>
      <c r="D7933" t="inlineStr">
        <is>
          <t>VÄSTRA GÖTALANDS LÄN</t>
        </is>
      </c>
      <c r="E7933" t="inlineStr">
        <is>
          <t>UDDEVALLA</t>
        </is>
      </c>
      <c r="F7933" t="inlineStr">
        <is>
          <t>Kommuner</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62074-2024</t>
        </is>
      </c>
      <c r="B7934" s="1" t="n">
        <v>45656.41170138889</v>
      </c>
      <c r="C7934" s="1" t="n">
        <v>46011</v>
      </c>
      <c r="D7934" t="inlineStr">
        <is>
          <t>VÄSTRA GÖTALANDS LÄN</t>
        </is>
      </c>
      <c r="E7934" t="inlineStr">
        <is>
          <t>UDDEVALLA</t>
        </is>
      </c>
      <c r="F7934" t="inlineStr">
        <is>
          <t>Kommuner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62077-2024</t>
        </is>
      </c>
      <c r="B7935" s="1" t="n">
        <v>45656.4194212963</v>
      </c>
      <c r="C7935" s="1" t="n">
        <v>46011</v>
      </c>
      <c r="D7935" t="inlineStr">
        <is>
          <t>VÄSTRA GÖTALANDS LÄN</t>
        </is>
      </c>
      <c r="E7935" t="inlineStr">
        <is>
          <t>UDDEVALLA</t>
        </is>
      </c>
      <c r="F7935" t="inlineStr">
        <is>
          <t>Kommuner</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49564-2024</t>
        </is>
      </c>
      <c r="B7936" s="1" t="n">
        <v>45596.48508101852</v>
      </c>
      <c r="C7936" s="1" t="n">
        <v>46011</v>
      </c>
      <c r="D7936" t="inlineStr">
        <is>
          <t>VÄSTRA GÖTALANDS LÄN</t>
        </is>
      </c>
      <c r="E7936" t="inlineStr">
        <is>
          <t>HJO</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16609-2022</t>
        </is>
      </c>
      <c r="B7937" s="1" t="n">
        <v>44672</v>
      </c>
      <c r="C7937" s="1" t="n">
        <v>46011</v>
      </c>
      <c r="D7937" t="inlineStr">
        <is>
          <t>VÄSTRA GÖTALANDS LÄN</t>
        </is>
      </c>
      <c r="E7937" t="inlineStr">
        <is>
          <t>ALINGSÅS</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16612-2022</t>
        </is>
      </c>
      <c r="B7938" s="1" t="n">
        <v>44672</v>
      </c>
      <c r="C7938" s="1" t="n">
        <v>46011</v>
      </c>
      <c r="D7938" t="inlineStr">
        <is>
          <t>VÄSTRA GÖTALANDS LÄN</t>
        </is>
      </c>
      <c r="E7938" t="inlineStr">
        <is>
          <t>ALINGSÅS</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48213-2025</t>
        </is>
      </c>
      <c r="B7939" s="1" t="n">
        <v>45933</v>
      </c>
      <c r="C7939" s="1" t="n">
        <v>46011</v>
      </c>
      <c r="D7939" t="inlineStr">
        <is>
          <t>VÄSTRA GÖTALANDS LÄN</t>
        </is>
      </c>
      <c r="E7939" t="inlineStr">
        <is>
          <t>ALE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48218-2025</t>
        </is>
      </c>
      <c r="B7940" s="1" t="n">
        <v>45933</v>
      </c>
      <c r="C7940" s="1" t="n">
        <v>46011</v>
      </c>
      <c r="D7940" t="inlineStr">
        <is>
          <t>VÄSTRA GÖTALANDS LÄN</t>
        </is>
      </c>
      <c r="E7940" t="inlineStr">
        <is>
          <t>ALE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48861-2025</t>
        </is>
      </c>
      <c r="B7941" s="1" t="n">
        <v>45937.44197916667</v>
      </c>
      <c r="C7941" s="1" t="n">
        <v>46011</v>
      </c>
      <c r="D7941" t="inlineStr">
        <is>
          <t>VÄSTRA GÖTALANDS LÄN</t>
        </is>
      </c>
      <c r="E7941" t="inlineStr">
        <is>
          <t>ULRICEHAMN</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48915-2025</t>
        </is>
      </c>
      <c r="B7942" s="1" t="n">
        <v>45937.49190972222</v>
      </c>
      <c r="C7942" s="1" t="n">
        <v>46011</v>
      </c>
      <c r="D7942" t="inlineStr">
        <is>
          <t>VÄSTRA GÖTALANDS LÄN</t>
        </is>
      </c>
      <c r="E7942" t="inlineStr">
        <is>
          <t>ULRICEHAMN</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36650-2025</t>
        </is>
      </c>
      <c r="B7943" s="1" t="n">
        <v>45872.58658564815</v>
      </c>
      <c r="C7943" s="1" t="n">
        <v>46011</v>
      </c>
      <c r="D7943" t="inlineStr">
        <is>
          <t>VÄSTRA GÖTALANDS LÄN</t>
        </is>
      </c>
      <c r="E7943" t="inlineStr">
        <is>
          <t>BOLLEBYGD</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48938-2025</t>
        </is>
      </c>
      <c r="B7944" s="1" t="n">
        <v>45937</v>
      </c>
      <c r="C7944" s="1" t="n">
        <v>46011</v>
      </c>
      <c r="D7944" t="inlineStr">
        <is>
          <t>VÄSTRA GÖTALANDS LÄN</t>
        </is>
      </c>
      <c r="E7944" t="inlineStr">
        <is>
          <t>MARK</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36665-2025</t>
        </is>
      </c>
      <c r="B7945" s="1" t="n">
        <v>45873</v>
      </c>
      <c r="C7945" s="1" t="n">
        <v>46011</v>
      </c>
      <c r="D7945" t="inlineStr">
        <is>
          <t>VÄSTRA GÖTALANDS LÄN</t>
        </is>
      </c>
      <c r="E7945" t="inlineStr">
        <is>
          <t>FALKÖPING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3114-2024</t>
        </is>
      </c>
      <c r="B7946" s="1" t="n">
        <v>45316.4958449074</v>
      </c>
      <c r="C7946" s="1" t="n">
        <v>46011</v>
      </c>
      <c r="D7946" t="inlineStr">
        <is>
          <t>VÄSTRA GÖTALANDS LÄN</t>
        </is>
      </c>
      <c r="E7946" t="inlineStr">
        <is>
          <t>MARK</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47708-2025</t>
        </is>
      </c>
      <c r="B7947" s="1" t="n">
        <v>45931</v>
      </c>
      <c r="C7947" s="1" t="n">
        <v>46011</v>
      </c>
      <c r="D7947" t="inlineStr">
        <is>
          <t>VÄSTRA GÖTALANDS LÄN</t>
        </is>
      </c>
      <c r="E7947" t="inlineStr">
        <is>
          <t>TROLLHÄTTAN</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49419-2025</t>
        </is>
      </c>
      <c r="B7948" s="1" t="n">
        <v>45938.70142361111</v>
      </c>
      <c r="C7948" s="1" t="n">
        <v>46011</v>
      </c>
      <c r="D7948" t="inlineStr">
        <is>
          <t>VÄSTRA GÖTALANDS LÄN</t>
        </is>
      </c>
      <c r="E7948" t="inlineStr">
        <is>
          <t>ALINGSÅS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36641-2025</t>
        </is>
      </c>
      <c r="B7949" s="1" t="n">
        <v>45871.43119212963</v>
      </c>
      <c r="C7949" s="1" t="n">
        <v>46011</v>
      </c>
      <c r="D7949" t="inlineStr">
        <is>
          <t>VÄSTRA GÖTALANDS LÄN</t>
        </is>
      </c>
      <c r="E7949" t="inlineStr">
        <is>
          <t>VÅRGÅRDA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26025-2025</t>
        </is>
      </c>
      <c r="B7950" s="1" t="n">
        <v>45804</v>
      </c>
      <c r="C7950" s="1" t="n">
        <v>46011</v>
      </c>
      <c r="D7950" t="inlineStr">
        <is>
          <t>VÄSTRA GÖTALANDS LÄN</t>
        </is>
      </c>
      <c r="E7950" t="inlineStr">
        <is>
          <t>VÄNERSBORG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36035-2022</t>
        </is>
      </c>
      <c r="B7951" s="1" t="n">
        <v>44802.67622685185</v>
      </c>
      <c r="C7951" s="1" t="n">
        <v>46011</v>
      </c>
      <c r="D7951" t="inlineStr">
        <is>
          <t>VÄSTRA GÖTALANDS LÄN</t>
        </is>
      </c>
      <c r="E7951" t="inlineStr">
        <is>
          <t>TRANEMO</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60228-2024</t>
        </is>
      </c>
      <c r="B7952" s="1" t="n">
        <v>45640</v>
      </c>
      <c r="C7952" s="1" t="n">
        <v>46011</v>
      </c>
      <c r="D7952" t="inlineStr">
        <is>
          <t>VÄSTRA GÖTALANDS LÄN</t>
        </is>
      </c>
      <c r="E7952" t="inlineStr">
        <is>
          <t>MUNKEDAL</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48912-2025</t>
        </is>
      </c>
      <c r="B7953" s="1" t="n">
        <v>45937.4890625</v>
      </c>
      <c r="C7953" s="1" t="n">
        <v>46011</v>
      </c>
      <c r="D7953" t="inlineStr">
        <is>
          <t>VÄSTRA GÖTALANDS LÄN</t>
        </is>
      </c>
      <c r="E7953" t="inlineStr">
        <is>
          <t>MARK</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60231-2024</t>
        </is>
      </c>
      <c r="B7954" s="1" t="n">
        <v>45640</v>
      </c>
      <c r="C7954" s="1" t="n">
        <v>46011</v>
      </c>
      <c r="D7954" t="inlineStr">
        <is>
          <t>VÄSTRA GÖTALANDS LÄN</t>
        </is>
      </c>
      <c r="E7954" t="inlineStr">
        <is>
          <t>MUNKEDAL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3823-2023</t>
        </is>
      </c>
      <c r="B7955" s="1" t="n">
        <v>44951.63021990741</v>
      </c>
      <c r="C7955" s="1" t="n">
        <v>46011</v>
      </c>
      <c r="D7955" t="inlineStr">
        <is>
          <t>VÄSTRA GÖTALANDS LÄN</t>
        </is>
      </c>
      <c r="E7955" t="inlineStr">
        <is>
          <t>BENGTSFORS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8450-2023</t>
        </is>
      </c>
      <c r="B7956" s="1" t="n">
        <v>44977</v>
      </c>
      <c r="C7956" s="1" t="n">
        <v>46011</v>
      </c>
      <c r="D7956" t="inlineStr">
        <is>
          <t>VÄSTRA GÖTALANDS LÄN</t>
        </is>
      </c>
      <c r="E7956" t="inlineStr">
        <is>
          <t>FÄRGELANDA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48790-2025</t>
        </is>
      </c>
      <c r="B7957" s="1" t="n">
        <v>45937.3239699074</v>
      </c>
      <c r="C7957" s="1" t="n">
        <v>46011</v>
      </c>
      <c r="D7957" t="inlineStr">
        <is>
          <t>VÄSTRA GÖTALANDS LÄN</t>
        </is>
      </c>
      <c r="E7957" t="inlineStr">
        <is>
          <t>TROLLHÄTTAN</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48794-2025</t>
        </is>
      </c>
      <c r="B7958" s="1" t="n">
        <v>45937.330625</v>
      </c>
      <c r="C7958" s="1" t="n">
        <v>46011</v>
      </c>
      <c r="D7958" t="inlineStr">
        <is>
          <t>VÄSTRA GÖTALANDS LÄN</t>
        </is>
      </c>
      <c r="E7958" t="inlineStr">
        <is>
          <t>TRANEMO</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8469-2023</t>
        </is>
      </c>
      <c r="B7959" s="1" t="n">
        <v>44977.50028935185</v>
      </c>
      <c r="C7959" s="1" t="n">
        <v>46011</v>
      </c>
      <c r="D7959" t="inlineStr">
        <is>
          <t>VÄSTRA GÖTALANDS LÄN</t>
        </is>
      </c>
      <c r="E7959" t="inlineStr">
        <is>
          <t>LYSEKIL</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33201-2023</t>
        </is>
      </c>
      <c r="B7960" s="1" t="n">
        <v>45127.42379629629</v>
      </c>
      <c r="C7960" s="1" t="n">
        <v>46011</v>
      </c>
      <c r="D7960" t="inlineStr">
        <is>
          <t>VÄSTRA GÖTALANDS LÄN</t>
        </is>
      </c>
      <c r="E7960" t="inlineStr">
        <is>
          <t>MÖLNDAL</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29099-2025</t>
        </is>
      </c>
      <c r="B7961" s="1" t="n">
        <v>45821.56581018519</v>
      </c>
      <c r="C7961" s="1" t="n">
        <v>46011</v>
      </c>
      <c r="D7961" t="inlineStr">
        <is>
          <t>VÄSTRA GÖTALANDS LÄN</t>
        </is>
      </c>
      <c r="E7961" t="inlineStr">
        <is>
          <t>MARK</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36719-2025</t>
        </is>
      </c>
      <c r="B7962" s="1" t="n">
        <v>45872</v>
      </c>
      <c r="C7962" s="1" t="n">
        <v>46011</v>
      </c>
      <c r="D7962" t="inlineStr">
        <is>
          <t>VÄSTRA GÖTALANDS LÄN</t>
        </is>
      </c>
      <c r="E7962" t="inlineStr">
        <is>
          <t>ORUST</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37100-2025</t>
        </is>
      </c>
      <c r="B7963" s="1" t="n">
        <v>45875.47351851852</v>
      </c>
      <c r="C7963" s="1" t="n">
        <v>46011</v>
      </c>
      <c r="D7963" t="inlineStr">
        <is>
          <t>VÄSTRA GÖTALANDS LÄN</t>
        </is>
      </c>
      <c r="E7963" t="inlineStr">
        <is>
          <t>MUNKEDAL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37125-2025</t>
        </is>
      </c>
      <c r="B7964" s="1" t="n">
        <v>45875.52809027778</v>
      </c>
      <c r="C7964" s="1" t="n">
        <v>46011</v>
      </c>
      <c r="D7964" t="inlineStr">
        <is>
          <t>VÄSTRA GÖTALANDS LÄN</t>
        </is>
      </c>
      <c r="E7964" t="inlineStr">
        <is>
          <t>LIDKÖPING</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57483-2025</t>
        </is>
      </c>
      <c r="B7965" s="1" t="n">
        <v>45980.57719907408</v>
      </c>
      <c r="C7965" s="1" t="n">
        <v>46011</v>
      </c>
      <c r="D7965" t="inlineStr">
        <is>
          <t>VÄSTRA GÖTALANDS LÄN</t>
        </is>
      </c>
      <c r="E7965" t="inlineStr">
        <is>
          <t>TANUM</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49177-2025</t>
        </is>
      </c>
      <c r="B7966" s="1" t="n">
        <v>45938.38199074074</v>
      </c>
      <c r="C7966" s="1" t="n">
        <v>46011</v>
      </c>
      <c r="D7966" t="inlineStr">
        <is>
          <t>VÄSTRA GÖTALANDS LÄN</t>
        </is>
      </c>
      <c r="E7966" t="inlineStr">
        <is>
          <t>TÖREBODA</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49180-2025</t>
        </is>
      </c>
      <c r="B7967" s="1" t="n">
        <v>45938.3859375</v>
      </c>
      <c r="C7967" s="1" t="n">
        <v>46011</v>
      </c>
      <c r="D7967" t="inlineStr">
        <is>
          <t>VÄSTRA GÖTALANDS LÄN</t>
        </is>
      </c>
      <c r="E7967" t="inlineStr">
        <is>
          <t>TÖREBODA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49365-2025</t>
        </is>
      </c>
      <c r="B7968" s="1" t="n">
        <v>45938.62341435185</v>
      </c>
      <c r="C7968" s="1" t="n">
        <v>46011</v>
      </c>
      <c r="D7968" t="inlineStr">
        <is>
          <t>VÄSTRA GÖTALANDS LÄN</t>
        </is>
      </c>
      <c r="E7968" t="inlineStr">
        <is>
          <t>ORUST</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37132-2025</t>
        </is>
      </c>
      <c r="B7969" s="1" t="n">
        <v>45875.54393518518</v>
      </c>
      <c r="C7969" s="1" t="n">
        <v>46011</v>
      </c>
      <c r="D7969" t="inlineStr">
        <is>
          <t>VÄSTRA GÖTALANDS LÄN</t>
        </is>
      </c>
      <c r="E7969" t="inlineStr">
        <is>
          <t>MARK</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48660-2024</t>
        </is>
      </c>
      <c r="B7970" s="1" t="n">
        <v>45593</v>
      </c>
      <c r="C7970" s="1" t="n">
        <v>46011</v>
      </c>
      <c r="D7970" t="inlineStr">
        <is>
          <t>VÄSTRA GÖTALANDS LÄN</t>
        </is>
      </c>
      <c r="E7970" t="inlineStr">
        <is>
          <t>FALKÖPING</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57418-2025</t>
        </is>
      </c>
      <c r="B7971" s="1" t="n">
        <v>45980.45340277778</v>
      </c>
      <c r="C7971" s="1" t="n">
        <v>46011</v>
      </c>
      <c r="D7971" t="inlineStr">
        <is>
          <t>VÄSTRA GÖTALANDS LÄN</t>
        </is>
      </c>
      <c r="E7971" t="inlineStr">
        <is>
          <t>MARK</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48899-2025</t>
        </is>
      </c>
      <c r="B7972" s="1" t="n">
        <v>45937.48063657407</v>
      </c>
      <c r="C7972" s="1" t="n">
        <v>46011</v>
      </c>
      <c r="D7972" t="inlineStr">
        <is>
          <t>VÄSTRA GÖTALANDS LÄN</t>
        </is>
      </c>
      <c r="E7972" t="inlineStr">
        <is>
          <t>TIDAHOLM</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37219-2025</t>
        </is>
      </c>
      <c r="B7973" s="1" t="n">
        <v>45875</v>
      </c>
      <c r="C7973" s="1" t="n">
        <v>46011</v>
      </c>
      <c r="D7973" t="inlineStr">
        <is>
          <t>VÄSTRA GÖTALANDS LÄN</t>
        </is>
      </c>
      <c r="E7973" t="inlineStr">
        <is>
          <t>GULLSPÅNG</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34610-2023</t>
        </is>
      </c>
      <c r="B7974" s="1" t="n">
        <v>45140</v>
      </c>
      <c r="C7974" s="1" t="n">
        <v>46011</v>
      </c>
      <c r="D7974" t="inlineStr">
        <is>
          <t>VÄSTRA GÖTALANDS LÄN</t>
        </is>
      </c>
      <c r="E7974" t="inlineStr">
        <is>
          <t>BORÅS</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7001-2025</t>
        </is>
      </c>
      <c r="B7975" s="1" t="n">
        <v>45701.5966550926</v>
      </c>
      <c r="C7975" s="1" t="n">
        <v>46011</v>
      </c>
      <c r="D7975" t="inlineStr">
        <is>
          <t>VÄSTRA GÖTALANDS LÄN</t>
        </is>
      </c>
      <c r="E7975" t="inlineStr">
        <is>
          <t>TRANEMO</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25832-2024</t>
        </is>
      </c>
      <c r="B7976" s="1" t="n">
        <v>45467</v>
      </c>
      <c r="C7976" s="1" t="n">
        <v>46011</v>
      </c>
      <c r="D7976" t="inlineStr">
        <is>
          <t>VÄSTRA GÖTALANDS LÄN</t>
        </is>
      </c>
      <c r="E7976" t="inlineStr">
        <is>
          <t>ALINGSÅS</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48918-2025</t>
        </is>
      </c>
      <c r="B7977" s="1" t="n">
        <v>45937.49298611111</v>
      </c>
      <c r="C7977" s="1" t="n">
        <v>46011</v>
      </c>
      <c r="D7977" t="inlineStr">
        <is>
          <t>VÄSTRA GÖTALANDS LÄN</t>
        </is>
      </c>
      <c r="E7977" t="inlineStr">
        <is>
          <t>ULRICEHAMN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7088-2025</t>
        </is>
      </c>
      <c r="B7978" s="1" t="n">
        <v>45701.72737268519</v>
      </c>
      <c r="C7978" s="1" t="n">
        <v>46011</v>
      </c>
      <c r="D7978" t="inlineStr">
        <is>
          <t>VÄSTRA GÖTALANDS LÄN</t>
        </is>
      </c>
      <c r="E7978" t="inlineStr">
        <is>
          <t>LIDKÖPING</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57287-2025</t>
        </is>
      </c>
      <c r="B7979" s="1" t="n">
        <v>45979.75311342593</v>
      </c>
      <c r="C7979" s="1" t="n">
        <v>46011</v>
      </c>
      <c r="D7979" t="inlineStr">
        <is>
          <t>VÄSTRA GÖTALANDS LÄN</t>
        </is>
      </c>
      <c r="E7979" t="inlineStr">
        <is>
          <t>UDDEVALLA</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48759-2025</t>
        </is>
      </c>
      <c r="B7980" s="1" t="n">
        <v>45936.76261574074</v>
      </c>
      <c r="C7980" s="1" t="n">
        <v>46011</v>
      </c>
      <c r="D7980" t="inlineStr">
        <is>
          <t>VÄSTRA GÖTALANDS LÄN</t>
        </is>
      </c>
      <c r="E7980" t="inlineStr">
        <is>
          <t>MARK</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37255-2025</t>
        </is>
      </c>
      <c r="B7981" s="1" t="n">
        <v>45876.43549768518</v>
      </c>
      <c r="C7981" s="1" t="n">
        <v>46011</v>
      </c>
      <c r="D7981" t="inlineStr">
        <is>
          <t>VÄSTRA GÖTALANDS LÄN</t>
        </is>
      </c>
      <c r="E7981" t="inlineStr">
        <is>
          <t>HERRLJUNGA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48890-2025</t>
        </is>
      </c>
      <c r="B7982" s="1" t="n">
        <v>45937.46953703704</v>
      </c>
      <c r="C7982" s="1" t="n">
        <v>46011</v>
      </c>
      <c r="D7982" t="inlineStr">
        <is>
          <t>VÄSTRA GÖTALANDS LÄN</t>
        </is>
      </c>
      <c r="E7982" t="inlineStr">
        <is>
          <t>SKÖVDE</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7162-2025</t>
        </is>
      </c>
      <c r="B7983" s="1" t="n">
        <v>45702.39122685185</v>
      </c>
      <c r="C7983" s="1" t="n">
        <v>46011</v>
      </c>
      <c r="D7983" t="inlineStr">
        <is>
          <t>VÄSTRA GÖTALANDS LÄN</t>
        </is>
      </c>
      <c r="E7983" t="inlineStr">
        <is>
          <t>MARIESTAD</t>
        </is>
      </c>
      <c r="F7983" t="inlineStr">
        <is>
          <t>Sveaskog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57116-2025</t>
        </is>
      </c>
      <c r="B7984" s="1" t="n">
        <v>45979.46130787037</v>
      </c>
      <c r="C7984" s="1" t="n">
        <v>46011</v>
      </c>
      <c r="D7984" t="inlineStr">
        <is>
          <t>VÄSTRA GÖTALANDS LÄN</t>
        </is>
      </c>
      <c r="E7984" t="inlineStr">
        <is>
          <t>KUNGÄLV</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57169-2025</t>
        </is>
      </c>
      <c r="B7985" s="1" t="n">
        <v>45979.5437037037</v>
      </c>
      <c r="C7985" s="1" t="n">
        <v>46011</v>
      </c>
      <c r="D7985" t="inlineStr">
        <is>
          <t>VÄSTRA GÖTALANDS LÄN</t>
        </is>
      </c>
      <c r="E7985" t="inlineStr">
        <is>
          <t>SVENLJUNGA</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49077-2025</t>
        </is>
      </c>
      <c r="B7986" s="1" t="n">
        <v>45937.6599074074</v>
      </c>
      <c r="C7986" s="1" t="n">
        <v>46011</v>
      </c>
      <c r="D7986" t="inlineStr">
        <is>
          <t>VÄSTRA GÖTALANDS LÄN</t>
        </is>
      </c>
      <c r="E7986" t="inlineStr">
        <is>
          <t>GÖTENE</t>
        </is>
      </c>
      <c r="F7986" t="inlineStr">
        <is>
          <t>Sveaskog</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51830-2025</t>
        </is>
      </c>
      <c r="B7987" s="1" t="n">
        <v>45952</v>
      </c>
      <c r="C7987" s="1" t="n">
        <v>46011</v>
      </c>
      <c r="D7987" t="inlineStr">
        <is>
          <t>VÄSTRA GÖTALANDS LÄN</t>
        </is>
      </c>
      <c r="E7987" t="inlineStr">
        <is>
          <t>BENGTSFORS</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37089-2025</t>
        </is>
      </c>
      <c r="B7988" s="1" t="n">
        <v>45875.46065972222</v>
      </c>
      <c r="C7988" s="1" t="n">
        <v>46011</v>
      </c>
      <c r="D7988" t="inlineStr">
        <is>
          <t>VÄSTRA GÖTALANDS LÄN</t>
        </is>
      </c>
      <c r="E7988" t="inlineStr">
        <is>
          <t>HERRLJUNGA</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37090-2025</t>
        </is>
      </c>
      <c r="B7989" s="1" t="n">
        <v>45875.46194444445</v>
      </c>
      <c r="C7989" s="1" t="n">
        <v>46011</v>
      </c>
      <c r="D7989" t="inlineStr">
        <is>
          <t>VÄSTRA GÖTALANDS LÄN</t>
        </is>
      </c>
      <c r="E7989" t="inlineStr">
        <is>
          <t>HERRLJUNGA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34162-2023</t>
        </is>
      </c>
      <c r="B7990" s="1" t="n">
        <v>45137</v>
      </c>
      <c r="C7990" s="1" t="n">
        <v>46011</v>
      </c>
      <c r="D7990" t="inlineStr">
        <is>
          <t>VÄSTRA GÖTALANDS LÄN</t>
        </is>
      </c>
      <c r="E7990" t="inlineStr">
        <is>
          <t>MARK</t>
        </is>
      </c>
      <c r="G7990" t="n">
        <v>9.300000000000001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37110-2025</t>
        </is>
      </c>
      <c r="B7991" s="1" t="n">
        <v>45875.49515046296</v>
      </c>
      <c r="C7991" s="1" t="n">
        <v>46011</v>
      </c>
      <c r="D7991" t="inlineStr">
        <is>
          <t>VÄSTRA GÖTALANDS LÄN</t>
        </is>
      </c>
      <c r="E7991" t="inlineStr">
        <is>
          <t>HERRLJUNGA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49201-2025</t>
        </is>
      </c>
      <c r="B7992" s="1" t="n">
        <v>45938.41451388889</v>
      </c>
      <c r="C7992" s="1" t="n">
        <v>46011</v>
      </c>
      <c r="D7992" t="inlineStr">
        <is>
          <t>VÄSTRA GÖTALANDS LÄN</t>
        </is>
      </c>
      <c r="E7992" t="inlineStr">
        <is>
          <t>VÄNERSBORG</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37299-2025</t>
        </is>
      </c>
      <c r="B7993" s="1" t="n">
        <v>45876.5759375</v>
      </c>
      <c r="C7993" s="1" t="n">
        <v>46011</v>
      </c>
      <c r="D7993" t="inlineStr">
        <is>
          <t>VÄSTRA GÖTALANDS LÄN</t>
        </is>
      </c>
      <c r="E7993" t="inlineStr">
        <is>
          <t>LIDKÖPING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48791-2025</t>
        </is>
      </c>
      <c r="B7994" s="1" t="n">
        <v>45937.32559027777</v>
      </c>
      <c r="C7994" s="1" t="n">
        <v>46011</v>
      </c>
      <c r="D7994" t="inlineStr">
        <is>
          <t>VÄSTRA GÖTALANDS LÄN</t>
        </is>
      </c>
      <c r="E7994" t="inlineStr">
        <is>
          <t>TROLLHÄTTAN</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48793-2025</t>
        </is>
      </c>
      <c r="B7995" s="1" t="n">
        <v>45937.32879629629</v>
      </c>
      <c r="C7995" s="1" t="n">
        <v>46011</v>
      </c>
      <c r="D7995" t="inlineStr">
        <is>
          <t>VÄSTRA GÖTALANDS LÄN</t>
        </is>
      </c>
      <c r="E7995" t="inlineStr">
        <is>
          <t>TRANEMO</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12169-2023</t>
        </is>
      </c>
      <c r="B7996" s="1" t="n">
        <v>44998</v>
      </c>
      <c r="C7996" s="1" t="n">
        <v>46011</v>
      </c>
      <c r="D7996" t="inlineStr">
        <is>
          <t>VÄSTRA GÖTALANDS LÄN</t>
        </is>
      </c>
      <c r="E7996" t="inlineStr">
        <is>
          <t>UDDEVALLA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12175-2023</t>
        </is>
      </c>
      <c r="B7997" s="1" t="n">
        <v>44998.54354166667</v>
      </c>
      <c r="C7997" s="1" t="n">
        <v>46011</v>
      </c>
      <c r="D7997" t="inlineStr">
        <is>
          <t>VÄSTRA GÖTALANDS LÄN</t>
        </is>
      </c>
      <c r="E7997" t="inlineStr">
        <is>
          <t>LIDKÖPING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48966-2025</t>
        </is>
      </c>
      <c r="B7998" s="1" t="n">
        <v>45937</v>
      </c>
      <c r="C7998" s="1" t="n">
        <v>46011</v>
      </c>
      <c r="D7998" t="inlineStr">
        <is>
          <t>VÄSTRA GÖTALANDS LÄN</t>
        </is>
      </c>
      <c r="E7998" t="inlineStr">
        <is>
          <t>ALINGSÅS</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59621-2024</t>
        </is>
      </c>
      <c r="B7999" s="1" t="n">
        <v>45638.8634837963</v>
      </c>
      <c r="C7999" s="1" t="n">
        <v>46011</v>
      </c>
      <c r="D7999" t="inlineStr">
        <is>
          <t>VÄSTRA GÖTALANDS LÄN</t>
        </is>
      </c>
      <c r="E7999" t="inlineStr">
        <is>
          <t>BENGTSFORS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18043-2021</t>
        </is>
      </c>
      <c r="B8000" s="1" t="n">
        <v>44301</v>
      </c>
      <c r="C8000" s="1" t="n">
        <v>46011</v>
      </c>
      <c r="D8000" t="inlineStr">
        <is>
          <t>VÄSTRA GÖTALANDS LÄN</t>
        </is>
      </c>
      <c r="E8000" t="inlineStr">
        <is>
          <t>STRÖMSTAD</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37041-2025</t>
        </is>
      </c>
      <c r="B8001" s="1" t="n">
        <v>45875</v>
      </c>
      <c r="C8001" s="1" t="n">
        <v>46011</v>
      </c>
      <c r="D8001" t="inlineStr">
        <is>
          <t>VÄSTRA GÖTALANDS LÄN</t>
        </is>
      </c>
      <c r="E8001" t="inlineStr">
        <is>
          <t>MARIESTAD</t>
        </is>
      </c>
      <c r="F8001" t="inlineStr">
        <is>
          <t>Sveaskog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18152-2021</t>
        </is>
      </c>
      <c r="B8002" s="1" t="n">
        <v>44302</v>
      </c>
      <c r="C8002" s="1" t="n">
        <v>46011</v>
      </c>
      <c r="D8002" t="inlineStr">
        <is>
          <t>VÄSTRA GÖTALANDS LÄN</t>
        </is>
      </c>
      <c r="E8002" t="inlineStr">
        <is>
          <t>TIDAHOLM</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37153-2025</t>
        </is>
      </c>
      <c r="B8003" s="1" t="n">
        <v>45875.58526620371</v>
      </c>
      <c r="C8003" s="1" t="n">
        <v>46011</v>
      </c>
      <c r="D8003" t="inlineStr">
        <is>
          <t>VÄSTRA GÖTALANDS LÄN</t>
        </is>
      </c>
      <c r="E8003" t="inlineStr">
        <is>
          <t>MARK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37164-2025</t>
        </is>
      </c>
      <c r="B8004" s="1" t="n">
        <v>45875.60344907407</v>
      </c>
      <c r="C8004" s="1" t="n">
        <v>46011</v>
      </c>
      <c r="D8004" t="inlineStr">
        <is>
          <t>VÄSTRA GÖTALANDS LÄN</t>
        </is>
      </c>
      <c r="E8004" t="inlineStr">
        <is>
          <t>MARK</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61336-2024</t>
        </is>
      </c>
      <c r="B8005" s="1" t="n">
        <v>45645</v>
      </c>
      <c r="C8005" s="1" t="n">
        <v>46011</v>
      </c>
      <c r="D8005" t="inlineStr">
        <is>
          <t>VÄSTRA GÖTALANDS LÄN</t>
        </is>
      </c>
      <c r="E8005" t="inlineStr">
        <is>
          <t>SKÖVDE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49069-2025</t>
        </is>
      </c>
      <c r="B8006" s="1" t="n">
        <v>45937.64949074074</v>
      </c>
      <c r="C8006" s="1" t="n">
        <v>46011</v>
      </c>
      <c r="D8006" t="inlineStr">
        <is>
          <t>VÄSTRA GÖTALANDS LÄN</t>
        </is>
      </c>
      <c r="E8006" t="inlineStr">
        <is>
          <t>FÄRGELANDA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37190-2025</t>
        </is>
      </c>
      <c r="B8007" s="1" t="n">
        <v>45875.64939814815</v>
      </c>
      <c r="C8007" s="1" t="n">
        <v>46011</v>
      </c>
      <c r="D8007" t="inlineStr">
        <is>
          <t>VÄSTRA GÖTALANDS LÄN</t>
        </is>
      </c>
      <c r="E8007" t="inlineStr">
        <is>
          <t>LILLA EDET</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37195-2025</t>
        </is>
      </c>
      <c r="B8008" s="1" t="n">
        <v>45875.66164351852</v>
      </c>
      <c r="C8008" s="1" t="n">
        <v>46011</v>
      </c>
      <c r="D8008" t="inlineStr">
        <is>
          <t>VÄSTRA GÖTALANDS LÄN</t>
        </is>
      </c>
      <c r="E8008" t="inlineStr">
        <is>
          <t>LIDKÖPING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60268-2024</t>
        </is>
      </c>
      <c r="B8009" s="1" t="n">
        <v>45642.86667824074</v>
      </c>
      <c r="C8009" s="1" t="n">
        <v>46011</v>
      </c>
      <c r="D8009" t="inlineStr">
        <is>
          <t>VÄSTRA GÖTALANDS LÄN</t>
        </is>
      </c>
      <c r="E8009" t="inlineStr">
        <is>
          <t>TÖREBODA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10448-2025</t>
        </is>
      </c>
      <c r="B8010" s="1" t="n">
        <v>45720</v>
      </c>
      <c r="C8010" s="1" t="n">
        <v>46011</v>
      </c>
      <c r="D8010" t="inlineStr">
        <is>
          <t>VÄSTRA GÖTALANDS LÄN</t>
        </is>
      </c>
      <c r="E8010" t="inlineStr">
        <is>
          <t>TÖREBODA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8210-2025</t>
        </is>
      </c>
      <c r="B8011" s="1" t="n">
        <v>45708.44409722222</v>
      </c>
      <c r="C8011" s="1" t="n">
        <v>46011</v>
      </c>
      <c r="D8011" t="inlineStr">
        <is>
          <t>VÄSTRA GÖTALANDS LÄN</t>
        </is>
      </c>
      <c r="E8011" t="inlineStr">
        <is>
          <t>ALINGSÅS</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8213-2025</t>
        </is>
      </c>
      <c r="B8012" s="1" t="n">
        <v>45708.44587962963</v>
      </c>
      <c r="C8012" s="1" t="n">
        <v>46011</v>
      </c>
      <c r="D8012" t="inlineStr">
        <is>
          <t>VÄSTRA GÖTALANDS LÄN</t>
        </is>
      </c>
      <c r="E8012" t="inlineStr">
        <is>
          <t>ESSUNGA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37218-2025</t>
        </is>
      </c>
      <c r="B8013" s="1" t="n">
        <v>45875</v>
      </c>
      <c r="C8013" s="1" t="n">
        <v>46011</v>
      </c>
      <c r="D8013" t="inlineStr">
        <is>
          <t>VÄSTRA GÖTALANDS LÄN</t>
        </is>
      </c>
      <c r="E8013" t="inlineStr">
        <is>
          <t>GULLSPÅNG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62390-2023</t>
        </is>
      </c>
      <c r="B8014" s="1" t="n">
        <v>45268</v>
      </c>
      <c r="C8014" s="1" t="n">
        <v>46011</v>
      </c>
      <c r="D8014" t="inlineStr">
        <is>
          <t>VÄSTRA GÖTALANDS LÄN</t>
        </is>
      </c>
      <c r="E8014" t="inlineStr">
        <is>
          <t>GÖTENE</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2094-2025</t>
        </is>
      </c>
      <c r="B8015" s="1" t="n">
        <v>45672.59924768518</v>
      </c>
      <c r="C8015" s="1" t="n">
        <v>46011</v>
      </c>
      <c r="D8015" t="inlineStr">
        <is>
          <t>VÄSTRA GÖTALANDS LÄN</t>
        </is>
      </c>
      <c r="E8015" t="inlineStr">
        <is>
          <t>TRANEMO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62402-2023</t>
        </is>
      </c>
      <c r="B8016" s="1" t="n">
        <v>45268.36413194444</v>
      </c>
      <c r="C8016" s="1" t="n">
        <v>46011</v>
      </c>
      <c r="D8016" t="inlineStr">
        <is>
          <t>VÄSTRA GÖTALANDS LÄN</t>
        </is>
      </c>
      <c r="E8016" t="inlineStr">
        <is>
          <t>GÖTENE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37311-2025</t>
        </is>
      </c>
      <c r="B8017" s="1" t="n">
        <v>45876.59644675926</v>
      </c>
      <c r="C8017" s="1" t="n">
        <v>46011</v>
      </c>
      <c r="D8017" t="inlineStr">
        <is>
          <t>VÄSTRA GÖTALANDS LÄN</t>
        </is>
      </c>
      <c r="E8017" t="inlineStr">
        <is>
          <t>STRÖMSTAD</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37315-2025</t>
        </is>
      </c>
      <c r="B8018" s="1" t="n">
        <v>45876.61038194445</v>
      </c>
      <c r="C8018" s="1" t="n">
        <v>46011</v>
      </c>
      <c r="D8018" t="inlineStr">
        <is>
          <t>VÄSTRA GÖTALANDS LÄN</t>
        </is>
      </c>
      <c r="E8018" t="inlineStr">
        <is>
          <t>ULRICEHAMN</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57532-2025</t>
        </is>
      </c>
      <c r="B8019" s="1" t="n">
        <v>45980.63876157408</v>
      </c>
      <c r="C8019" s="1" t="n">
        <v>46011</v>
      </c>
      <c r="D8019" t="inlineStr">
        <is>
          <t>VÄSTRA GÖTALANDS LÄN</t>
        </is>
      </c>
      <c r="E8019" t="inlineStr">
        <is>
          <t>LYSEKIL</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48760-2025</t>
        </is>
      </c>
      <c r="B8020" s="1" t="n">
        <v>45936.77475694445</v>
      </c>
      <c r="C8020" s="1" t="n">
        <v>46011</v>
      </c>
      <c r="D8020" t="inlineStr">
        <is>
          <t>VÄSTRA GÖTALANDS LÄN</t>
        </is>
      </c>
      <c r="E8020" t="inlineStr">
        <is>
          <t>VÅRGÅRDA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37060-2025</t>
        </is>
      </c>
      <c r="B8021" s="1" t="n">
        <v>45875.3753125</v>
      </c>
      <c r="C8021" s="1" t="n">
        <v>46011</v>
      </c>
      <c r="D8021" t="inlineStr">
        <is>
          <t>VÄSTRA GÖTALANDS LÄN</t>
        </is>
      </c>
      <c r="E8021" t="inlineStr">
        <is>
          <t>MARK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49310-2025</t>
        </is>
      </c>
      <c r="B8022" s="1" t="n">
        <v>45938.56295138889</v>
      </c>
      <c r="C8022" s="1" t="n">
        <v>46011</v>
      </c>
      <c r="D8022" t="inlineStr">
        <is>
          <t>VÄSTRA GÖTALANDS LÄN</t>
        </is>
      </c>
      <c r="E8022" t="inlineStr">
        <is>
          <t>ULRICEHAMN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49316-2025</t>
        </is>
      </c>
      <c r="B8023" s="1" t="n">
        <v>45938.56658564815</v>
      </c>
      <c r="C8023" s="1" t="n">
        <v>46011</v>
      </c>
      <c r="D8023" t="inlineStr">
        <is>
          <t>VÄSTRA GÖTALANDS LÄN</t>
        </is>
      </c>
      <c r="E8023" t="inlineStr">
        <is>
          <t>ULRICEHAMN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37264-2025</t>
        </is>
      </c>
      <c r="B8024" s="1" t="n">
        <v>45876.45918981481</v>
      </c>
      <c r="C8024" s="1" t="n">
        <v>46011</v>
      </c>
      <c r="D8024" t="inlineStr">
        <is>
          <t>VÄSTRA GÖTALANDS LÄN</t>
        </is>
      </c>
      <c r="E8024" t="inlineStr">
        <is>
          <t>TRANEMO</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37171-2025</t>
        </is>
      </c>
      <c r="B8025" s="1" t="n">
        <v>45875.6099537037</v>
      </c>
      <c r="C8025" s="1" t="n">
        <v>46011</v>
      </c>
      <c r="D8025" t="inlineStr">
        <is>
          <t>VÄSTRA GÖTALANDS LÄN</t>
        </is>
      </c>
      <c r="E8025" t="inlineStr">
        <is>
          <t>MARIESTAD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49417-2025</t>
        </is>
      </c>
      <c r="B8026" s="1" t="n">
        <v>45938.69787037037</v>
      </c>
      <c r="C8026" s="1" t="n">
        <v>46011</v>
      </c>
      <c r="D8026" t="inlineStr">
        <is>
          <t>VÄSTRA GÖTALANDS LÄN</t>
        </is>
      </c>
      <c r="E8026" t="inlineStr">
        <is>
          <t>ALINGSÅS</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49420-2025</t>
        </is>
      </c>
      <c r="B8027" s="1" t="n">
        <v>45938.70332175926</v>
      </c>
      <c r="C8027" s="1" t="n">
        <v>46011</v>
      </c>
      <c r="D8027" t="inlineStr">
        <is>
          <t>VÄSTRA GÖTALANDS LÄN</t>
        </is>
      </c>
      <c r="E8027" t="inlineStr">
        <is>
          <t>ALINGSÅS</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60976-2024</t>
        </is>
      </c>
      <c r="B8028" s="1" t="n">
        <v>45645.4093287037</v>
      </c>
      <c r="C8028" s="1" t="n">
        <v>46011</v>
      </c>
      <c r="D8028" t="inlineStr">
        <is>
          <t>VÄSTRA GÖTALANDS LÄN</t>
        </is>
      </c>
      <c r="E8028" t="inlineStr">
        <is>
          <t>ULRICEHAMN</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37067-2025</t>
        </is>
      </c>
      <c r="B8029" s="1" t="n">
        <v>45875</v>
      </c>
      <c r="C8029" s="1" t="n">
        <v>46011</v>
      </c>
      <c r="D8029" t="inlineStr">
        <is>
          <t>VÄSTRA GÖTALANDS LÄN</t>
        </is>
      </c>
      <c r="E8029" t="inlineStr">
        <is>
          <t>FÄRGELANDA</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48903-2025</t>
        </is>
      </c>
      <c r="B8030" s="1" t="n">
        <v>45937.48201388889</v>
      </c>
      <c r="C8030" s="1" t="n">
        <v>46011</v>
      </c>
      <c r="D8030" t="inlineStr">
        <is>
          <t>VÄSTRA GÖTALANDS LÄN</t>
        </is>
      </c>
      <c r="E8030" t="inlineStr">
        <is>
          <t>TIDAHOLM</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48906-2025</t>
        </is>
      </c>
      <c r="B8031" s="1" t="n">
        <v>45937.48306712963</v>
      </c>
      <c r="C8031" s="1" t="n">
        <v>46011</v>
      </c>
      <c r="D8031" t="inlineStr">
        <is>
          <t>VÄSTRA GÖTALANDS LÄN</t>
        </is>
      </c>
      <c r="E8031" t="inlineStr">
        <is>
          <t>TIDAHOLM</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61046-2024</t>
        </is>
      </c>
      <c r="B8032" s="1" t="n">
        <v>45645.47785879629</v>
      </c>
      <c r="C8032" s="1" t="n">
        <v>46011</v>
      </c>
      <c r="D8032" t="inlineStr">
        <is>
          <t>VÄSTRA GÖTALANDS LÄN</t>
        </is>
      </c>
      <c r="E8032" t="inlineStr">
        <is>
          <t>TROLLHÄTTAN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48907-2025</t>
        </is>
      </c>
      <c r="B8033" s="1" t="n">
        <v>45937.48375</v>
      </c>
      <c r="C8033" s="1" t="n">
        <v>46011</v>
      </c>
      <c r="D8033" t="inlineStr">
        <is>
          <t>VÄSTRA GÖTALANDS LÄN</t>
        </is>
      </c>
      <c r="E8033" t="inlineStr">
        <is>
          <t>TIDAHOLM</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37036-2025</t>
        </is>
      </c>
      <c r="B8034" s="1" t="n">
        <v>45875</v>
      </c>
      <c r="C8034" s="1" t="n">
        <v>46011</v>
      </c>
      <c r="D8034" t="inlineStr">
        <is>
          <t>VÄSTRA GÖTALANDS LÄN</t>
        </is>
      </c>
      <c r="E8034" t="inlineStr">
        <is>
          <t>KARLSBORG</t>
        </is>
      </c>
      <c r="F8034" t="inlineStr">
        <is>
          <t>Kyrkan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37098-2025</t>
        </is>
      </c>
      <c r="B8035" s="1" t="n">
        <v>45875.4712037037</v>
      </c>
      <c r="C8035" s="1" t="n">
        <v>46011</v>
      </c>
      <c r="D8035" t="inlineStr">
        <is>
          <t>VÄSTRA GÖTALANDS LÄN</t>
        </is>
      </c>
      <c r="E8035" t="inlineStr">
        <is>
          <t>MARIESTAD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57569-2025</t>
        </is>
      </c>
      <c r="B8036" s="1" t="n">
        <v>45980.73299768518</v>
      </c>
      <c r="C8036" s="1" t="n">
        <v>46011</v>
      </c>
      <c r="D8036" t="inlineStr">
        <is>
          <t>VÄSTRA GÖTALANDS LÄN</t>
        </is>
      </c>
      <c r="E8036" t="inlineStr">
        <is>
          <t>VÅRGÅRDA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13801-2025</t>
        </is>
      </c>
      <c r="B8037" s="1" t="n">
        <v>45737</v>
      </c>
      <c r="C8037" s="1" t="n">
        <v>46011</v>
      </c>
      <c r="D8037" t="inlineStr">
        <is>
          <t>VÄSTRA GÖTALANDS LÄN</t>
        </is>
      </c>
      <c r="E8037" t="inlineStr">
        <is>
          <t>LILLA EDET</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37340-2025</t>
        </is>
      </c>
      <c r="B8038" s="1" t="n">
        <v>45876.68804398148</v>
      </c>
      <c r="C8038" s="1" t="n">
        <v>46011</v>
      </c>
      <c r="D8038" t="inlineStr">
        <is>
          <t>VÄSTRA GÖTALANDS LÄN</t>
        </is>
      </c>
      <c r="E8038" t="inlineStr">
        <is>
          <t>TROLLHÄTTAN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48942-2025</t>
        </is>
      </c>
      <c r="B8039" s="1" t="n">
        <v>45937</v>
      </c>
      <c r="C8039" s="1" t="n">
        <v>46011</v>
      </c>
      <c r="D8039" t="inlineStr">
        <is>
          <t>VÄSTRA GÖTALANDS LÄN</t>
        </is>
      </c>
      <c r="E8039" t="inlineStr">
        <is>
          <t>ALINGSÅS</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48952-2025</t>
        </is>
      </c>
      <c r="B8040" s="1" t="n">
        <v>45937.54668981482</v>
      </c>
      <c r="C8040" s="1" t="n">
        <v>46011</v>
      </c>
      <c r="D8040" t="inlineStr">
        <is>
          <t>VÄSTRA GÖTALANDS LÄN</t>
        </is>
      </c>
      <c r="E8040" t="inlineStr">
        <is>
          <t>MARK</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29648-2025</t>
        </is>
      </c>
      <c r="B8041" s="1" t="n">
        <v>45825</v>
      </c>
      <c r="C8041" s="1" t="n">
        <v>46011</v>
      </c>
      <c r="D8041" t="inlineStr">
        <is>
          <t>VÄSTRA GÖTALANDS LÄN</t>
        </is>
      </c>
      <c r="E8041" t="inlineStr">
        <is>
          <t>TIBRO</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31128-2023</t>
        </is>
      </c>
      <c r="B8042" s="1" t="n">
        <v>45113.69722222222</v>
      </c>
      <c r="C8042" s="1" t="n">
        <v>46011</v>
      </c>
      <c r="D8042" t="inlineStr">
        <is>
          <t>VÄSTRA GÖTALANDS LÄN</t>
        </is>
      </c>
      <c r="E8042" t="inlineStr">
        <is>
          <t>SKARA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59175-2024</t>
        </is>
      </c>
      <c r="B8043" s="1" t="n">
        <v>45637.50040509259</v>
      </c>
      <c r="C8043" s="1" t="n">
        <v>46011</v>
      </c>
      <c r="D8043" t="inlineStr">
        <is>
          <t>VÄSTRA GÖTALANDS LÄN</t>
        </is>
      </c>
      <c r="E8043" t="inlineStr">
        <is>
          <t>MARK</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59182-2024</t>
        </is>
      </c>
      <c r="B8044" s="1" t="n">
        <v>45637.52162037037</v>
      </c>
      <c r="C8044" s="1" t="n">
        <v>46011</v>
      </c>
      <c r="D8044" t="inlineStr">
        <is>
          <t>VÄSTRA GÖTALANDS LÄN</t>
        </is>
      </c>
      <c r="E8044" t="inlineStr">
        <is>
          <t>MARK</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59193-2024</t>
        </is>
      </c>
      <c r="B8045" s="1" t="n">
        <v>45636</v>
      </c>
      <c r="C8045" s="1" t="n">
        <v>46011</v>
      </c>
      <c r="D8045" t="inlineStr">
        <is>
          <t>VÄSTRA GÖTALANDS LÄN</t>
        </is>
      </c>
      <c r="E8045" t="inlineStr">
        <is>
          <t>GULLSPÅNG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48995-2025</t>
        </is>
      </c>
      <c r="B8046" s="1" t="n">
        <v>45937</v>
      </c>
      <c r="C8046" s="1" t="n">
        <v>46011</v>
      </c>
      <c r="D8046" t="inlineStr">
        <is>
          <t>VÄSTRA GÖTALANDS LÄN</t>
        </is>
      </c>
      <c r="E8046" t="inlineStr">
        <is>
          <t>ULRICEHAMN</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57455-2025</t>
        </is>
      </c>
      <c r="B8047" s="1" t="n">
        <v>45980.52216435185</v>
      </c>
      <c r="C8047" s="1" t="n">
        <v>46011</v>
      </c>
      <c r="D8047" t="inlineStr">
        <is>
          <t>VÄSTRA GÖTALANDS LÄN</t>
        </is>
      </c>
      <c r="E8047" t="inlineStr">
        <is>
          <t>TRANEMO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7844-2022</t>
        </is>
      </c>
      <c r="B8048" s="1" t="n">
        <v>44608</v>
      </c>
      <c r="C8048" s="1" t="n">
        <v>46011</v>
      </c>
      <c r="D8048" t="inlineStr">
        <is>
          <t>VÄSTRA GÖTALANDS LÄN</t>
        </is>
      </c>
      <c r="E8048" t="inlineStr">
        <is>
          <t>MUNKEDAL</t>
        </is>
      </c>
      <c r="G8048" t="n">
        <v>15.4</v>
      </c>
      <c r="H8048" t="n">
        <v>0</v>
      </c>
      <c r="I8048" t="n">
        <v>0</v>
      </c>
      <c r="J8048" t="n">
        <v>0</v>
      </c>
      <c r="K8048" t="n">
        <v>0</v>
      </c>
      <c r="L8048" t="n">
        <v>0</v>
      </c>
      <c r="M8048" t="n">
        <v>0</v>
      </c>
      <c r="N8048" t="n">
        <v>0</v>
      </c>
      <c r="O8048" t="n">
        <v>0</v>
      </c>
      <c r="P8048" t="n">
        <v>0</v>
      </c>
      <c r="Q8048" t="n">
        <v>0</v>
      </c>
      <c r="R8048" s="2" t="inlineStr"/>
    </row>
    <row r="8049" ht="15" customHeight="1">
      <c r="A8049" t="inlineStr">
        <is>
          <t>A 2070-2022</t>
        </is>
      </c>
      <c r="B8049" s="1" t="n">
        <v>44575.86822916667</v>
      </c>
      <c r="C8049" s="1" t="n">
        <v>46011</v>
      </c>
      <c r="D8049" t="inlineStr">
        <is>
          <t>VÄSTRA GÖTALANDS LÄN</t>
        </is>
      </c>
      <c r="E8049" t="inlineStr">
        <is>
          <t>VARA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10173-2021</t>
        </is>
      </c>
      <c r="B8050" s="1" t="n">
        <v>44256</v>
      </c>
      <c r="C8050" s="1" t="n">
        <v>46011</v>
      </c>
      <c r="D8050" t="inlineStr">
        <is>
          <t>VÄSTRA GÖTALANDS LÄN</t>
        </is>
      </c>
      <c r="E8050" t="inlineStr">
        <is>
          <t>HERRLJUNGA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53971-2024</t>
        </is>
      </c>
      <c r="B8051" s="1" t="n">
        <v>45615</v>
      </c>
      <c r="C8051" s="1" t="n">
        <v>46011</v>
      </c>
      <c r="D8051" t="inlineStr">
        <is>
          <t>VÄSTRA GÖTALANDS LÄN</t>
        </is>
      </c>
      <c r="E8051" t="inlineStr">
        <is>
          <t>BENGTSFORS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57527-2025</t>
        </is>
      </c>
      <c r="B8052" s="1" t="n">
        <v>45980.63293981482</v>
      </c>
      <c r="C8052" s="1" t="n">
        <v>46011</v>
      </c>
      <c r="D8052" t="inlineStr">
        <is>
          <t>VÄSTRA GÖTALANDS LÄN</t>
        </is>
      </c>
      <c r="E8052" t="inlineStr">
        <is>
          <t>TIBRO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57530-2025</t>
        </is>
      </c>
      <c r="B8053" s="1" t="n">
        <v>45980.63579861111</v>
      </c>
      <c r="C8053" s="1" t="n">
        <v>46011</v>
      </c>
      <c r="D8053" t="inlineStr">
        <is>
          <t>VÄSTRA GÖTALANDS LÄN</t>
        </is>
      </c>
      <c r="E8053" t="inlineStr">
        <is>
          <t>LYSEKIL</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16924-2021</t>
        </is>
      </c>
      <c r="B8054" s="1" t="n">
        <v>44295</v>
      </c>
      <c r="C8054" s="1" t="n">
        <v>46011</v>
      </c>
      <c r="D8054" t="inlineStr">
        <is>
          <t>VÄSTRA GÖTALANDS LÄN</t>
        </is>
      </c>
      <c r="E8054" t="inlineStr">
        <is>
          <t>DALS-ED</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37443-2025</t>
        </is>
      </c>
      <c r="B8055" s="1" t="n">
        <v>45877.54152777778</v>
      </c>
      <c r="C8055" s="1" t="n">
        <v>46011</v>
      </c>
      <c r="D8055" t="inlineStr">
        <is>
          <t>VÄSTRA GÖTALANDS LÄN</t>
        </is>
      </c>
      <c r="E8055" t="inlineStr">
        <is>
          <t>KUNGÄLV</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57567-2025</t>
        </is>
      </c>
      <c r="B8056" s="1" t="n">
        <v>45980.73072916667</v>
      </c>
      <c r="C8056" s="1" t="n">
        <v>46011</v>
      </c>
      <c r="D8056" t="inlineStr">
        <is>
          <t>VÄSTRA GÖTALANDS LÄN</t>
        </is>
      </c>
      <c r="E8056" t="inlineStr">
        <is>
          <t>VÅRGÅRDA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37413-2025</t>
        </is>
      </c>
      <c r="B8057" s="1" t="n">
        <v>45877.46954861111</v>
      </c>
      <c r="C8057" s="1" t="n">
        <v>46011</v>
      </c>
      <c r="D8057" t="inlineStr">
        <is>
          <t>VÄSTRA GÖTALANDS LÄN</t>
        </is>
      </c>
      <c r="E8057" t="inlineStr">
        <is>
          <t>BORÅS</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57160-2025</t>
        </is>
      </c>
      <c r="B8058" s="1" t="n">
        <v>45979.52912037037</v>
      </c>
      <c r="C8058" s="1" t="n">
        <v>46011</v>
      </c>
      <c r="D8058" t="inlineStr">
        <is>
          <t>VÄSTRA GÖTALANDS LÄN</t>
        </is>
      </c>
      <c r="E8058" t="inlineStr">
        <is>
          <t>ESSUNGA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57161-2025</t>
        </is>
      </c>
      <c r="B8059" s="1" t="n">
        <v>45979.53009259259</v>
      </c>
      <c r="C8059" s="1" t="n">
        <v>46011</v>
      </c>
      <c r="D8059" t="inlineStr">
        <is>
          <t>VÄSTRA GÖTALANDS LÄN</t>
        </is>
      </c>
      <c r="E8059" t="inlineStr">
        <is>
          <t>ESSUNGA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48778-2025</t>
        </is>
      </c>
      <c r="B8060" s="1" t="n">
        <v>45937.2980787037</v>
      </c>
      <c r="C8060" s="1" t="n">
        <v>46011</v>
      </c>
      <c r="D8060" t="inlineStr">
        <is>
          <t>VÄSTRA GÖTALANDS LÄN</t>
        </is>
      </c>
      <c r="E8060" t="inlineStr">
        <is>
          <t>TRANEMO</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48787-2025</t>
        </is>
      </c>
      <c r="B8061" s="1" t="n">
        <v>45937.31791666667</v>
      </c>
      <c r="C8061" s="1" t="n">
        <v>46011</v>
      </c>
      <c r="D8061" t="inlineStr">
        <is>
          <t>VÄSTRA GÖTALANDS LÄN</t>
        </is>
      </c>
      <c r="E8061" t="inlineStr">
        <is>
          <t>TROLLHÄTTAN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6750-2024</t>
        </is>
      </c>
      <c r="B8062" s="1" t="n">
        <v>45342.45185185185</v>
      </c>
      <c r="C8062" s="1" t="n">
        <v>46011</v>
      </c>
      <c r="D8062" t="inlineStr">
        <is>
          <t>VÄSTRA GÖTALANDS LÄN</t>
        </is>
      </c>
      <c r="E8062" t="inlineStr">
        <is>
          <t>FALKÖPING</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905-2025</t>
        </is>
      </c>
      <c r="B8063" s="1" t="n">
        <v>45664</v>
      </c>
      <c r="C8063" s="1" t="n">
        <v>46011</v>
      </c>
      <c r="D8063" t="inlineStr">
        <is>
          <t>VÄSTRA GÖTALANDS LÄN</t>
        </is>
      </c>
      <c r="E8063" t="inlineStr">
        <is>
          <t>TÖREBODA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37410-2025</t>
        </is>
      </c>
      <c r="B8064" s="1" t="n">
        <v>45877.4678125</v>
      </c>
      <c r="C8064" s="1" t="n">
        <v>46011</v>
      </c>
      <c r="D8064" t="inlineStr">
        <is>
          <t>VÄSTRA GÖTALANDS LÄN</t>
        </is>
      </c>
      <c r="E8064" t="inlineStr">
        <is>
          <t>SVENLJUNGA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907-2025</t>
        </is>
      </c>
      <c r="B8065" s="1" t="n">
        <v>45664</v>
      </c>
      <c r="C8065" s="1" t="n">
        <v>46011</v>
      </c>
      <c r="D8065" t="inlineStr">
        <is>
          <t>VÄSTRA GÖTALANDS LÄN</t>
        </is>
      </c>
      <c r="E8065" t="inlineStr">
        <is>
          <t>TÖREBODA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912-2025</t>
        </is>
      </c>
      <c r="B8066" s="1" t="n">
        <v>45664</v>
      </c>
      <c r="C8066" s="1" t="n">
        <v>46011</v>
      </c>
      <c r="D8066" t="inlineStr">
        <is>
          <t>VÄSTRA GÖTALANDS LÄN</t>
        </is>
      </c>
      <c r="E8066" t="inlineStr">
        <is>
          <t>MUNKEDAL</t>
        </is>
      </c>
      <c r="F8066" t="inlineStr">
        <is>
          <t>Övriga Aktiebolag</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56526-2024</t>
        </is>
      </c>
      <c r="B8067" s="1" t="n">
        <v>45625</v>
      </c>
      <c r="C8067" s="1" t="n">
        <v>46011</v>
      </c>
      <c r="D8067" t="inlineStr">
        <is>
          <t>VÄSTRA GÖTALANDS LÄN</t>
        </is>
      </c>
      <c r="E8067" t="inlineStr">
        <is>
          <t>GULLSPÅNG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949-2025</t>
        </is>
      </c>
      <c r="B8068" s="1" t="n">
        <v>45666.35835648148</v>
      </c>
      <c r="C8068" s="1" t="n">
        <v>46011</v>
      </c>
      <c r="D8068" t="inlineStr">
        <is>
          <t>VÄSTRA GÖTALANDS LÄN</t>
        </is>
      </c>
      <c r="E8068" t="inlineStr">
        <is>
          <t>ULRICEHAMN</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18557-2021</t>
        </is>
      </c>
      <c r="B8069" s="1" t="n">
        <v>44306</v>
      </c>
      <c r="C8069" s="1" t="n">
        <v>46011</v>
      </c>
      <c r="D8069" t="inlineStr">
        <is>
          <t>VÄSTRA GÖTALANDS LÄN</t>
        </is>
      </c>
      <c r="E8069" t="inlineStr">
        <is>
          <t>TANUM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57252-2025</t>
        </is>
      </c>
      <c r="B8070" s="1" t="n">
        <v>45979.64233796296</v>
      </c>
      <c r="C8070" s="1" t="n">
        <v>46011</v>
      </c>
      <c r="D8070" t="inlineStr">
        <is>
          <t>VÄSTRA GÖTALANDS LÄN</t>
        </is>
      </c>
      <c r="E8070" t="inlineStr">
        <is>
          <t>MARK</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57260-2025</t>
        </is>
      </c>
      <c r="B8071" s="1" t="n">
        <v>45979.6544212963</v>
      </c>
      <c r="C8071" s="1" t="n">
        <v>46011</v>
      </c>
      <c r="D8071" t="inlineStr">
        <is>
          <t>VÄSTRA GÖTALANDS LÄN</t>
        </is>
      </c>
      <c r="E8071" t="inlineStr">
        <is>
          <t>VARA</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36974-2024</t>
        </is>
      </c>
      <c r="B8072" s="1" t="n">
        <v>45538.89228009259</v>
      </c>
      <c r="C8072" s="1" t="n">
        <v>46011</v>
      </c>
      <c r="D8072" t="inlineStr">
        <is>
          <t>VÄSTRA GÖTALANDS LÄN</t>
        </is>
      </c>
      <c r="E8072" t="inlineStr">
        <is>
          <t>VÅRGÅRDA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58152-2022</t>
        </is>
      </c>
      <c r="B8073" s="1" t="n">
        <v>44900</v>
      </c>
      <c r="C8073" s="1" t="n">
        <v>46011</v>
      </c>
      <c r="D8073" t="inlineStr">
        <is>
          <t>VÄSTRA GÖTALANDS LÄN</t>
        </is>
      </c>
      <c r="E8073" t="inlineStr">
        <is>
          <t>KARLSBORG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33380-2024</t>
        </is>
      </c>
      <c r="B8074" s="1" t="n">
        <v>45519.45018518518</v>
      </c>
      <c r="C8074" s="1" t="n">
        <v>46011</v>
      </c>
      <c r="D8074" t="inlineStr">
        <is>
          <t>VÄSTRA GÖTALANDS LÄN</t>
        </is>
      </c>
      <c r="E8074" t="inlineStr">
        <is>
          <t>TRANEMO</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57220-2025</t>
        </is>
      </c>
      <c r="B8075" s="1" t="n">
        <v>45979.6137962963</v>
      </c>
      <c r="C8075" s="1" t="n">
        <v>46011</v>
      </c>
      <c r="D8075" t="inlineStr">
        <is>
          <t>VÄSTRA GÖTALANDS LÄN</t>
        </is>
      </c>
      <c r="E8075" t="inlineStr">
        <is>
          <t>SVENLJUNGA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18999-2025</t>
        </is>
      </c>
      <c r="B8076" s="1" t="n">
        <v>45764.57859953704</v>
      </c>
      <c r="C8076" s="1" t="n">
        <v>46011</v>
      </c>
      <c r="D8076" t="inlineStr">
        <is>
          <t>VÄSTRA GÖTALANDS LÄN</t>
        </is>
      </c>
      <c r="E8076" t="inlineStr">
        <is>
          <t>MARK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37750-2025</t>
        </is>
      </c>
      <c r="B8077" s="1" t="n">
        <v>45880.67012731481</v>
      </c>
      <c r="C8077" s="1" t="n">
        <v>46011</v>
      </c>
      <c r="D8077" t="inlineStr">
        <is>
          <t>VÄSTRA GÖTALANDS LÄN</t>
        </is>
      </c>
      <c r="E8077" t="inlineStr">
        <is>
          <t>ULRICEHAMN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2196-2025</t>
        </is>
      </c>
      <c r="B8078" s="1" t="n">
        <v>45673.38386574074</v>
      </c>
      <c r="C8078" s="1" t="n">
        <v>46011</v>
      </c>
      <c r="D8078" t="inlineStr">
        <is>
          <t>VÄSTRA GÖTALANDS LÄN</t>
        </is>
      </c>
      <c r="E8078" t="inlineStr">
        <is>
          <t>TANUM</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8923-2024</t>
        </is>
      </c>
      <c r="B8079" s="1" t="n">
        <v>45356</v>
      </c>
      <c r="C8079" s="1" t="n">
        <v>46011</v>
      </c>
      <c r="D8079" t="inlineStr">
        <is>
          <t>VÄSTRA GÖTALANDS LÄN</t>
        </is>
      </c>
      <c r="E8079" t="inlineStr">
        <is>
          <t>MELLERUD</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8473-2025</t>
        </is>
      </c>
      <c r="B8080" s="1" t="n">
        <v>45709.47435185185</v>
      </c>
      <c r="C8080" s="1" t="n">
        <v>46011</v>
      </c>
      <c r="D8080" t="inlineStr">
        <is>
          <t>VÄSTRA GÖTALANDS LÄN</t>
        </is>
      </c>
      <c r="E8080" t="inlineStr">
        <is>
          <t>TANUM</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11771-2024</t>
        </is>
      </c>
      <c r="B8081" s="1" t="n">
        <v>45373</v>
      </c>
      <c r="C8081" s="1" t="n">
        <v>46011</v>
      </c>
      <c r="D8081" t="inlineStr">
        <is>
          <t>VÄSTRA GÖTALANDS LÄN</t>
        </is>
      </c>
      <c r="E8081" t="inlineStr">
        <is>
          <t>GÖTENE</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37560-2025</t>
        </is>
      </c>
      <c r="B8082" s="1" t="n">
        <v>45880</v>
      </c>
      <c r="C8082" s="1" t="n">
        <v>46011</v>
      </c>
      <c r="D8082" t="inlineStr">
        <is>
          <t>VÄSTRA GÖTALANDS LÄN</t>
        </is>
      </c>
      <c r="E8082" t="inlineStr">
        <is>
          <t>ULRICEHAMN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57555-2025</t>
        </is>
      </c>
      <c r="B8083" s="1" t="n">
        <v>45980.67776620371</v>
      </c>
      <c r="C8083" s="1" t="n">
        <v>46011</v>
      </c>
      <c r="D8083" t="inlineStr">
        <is>
          <t>VÄSTRA GÖTALANDS LÄN</t>
        </is>
      </c>
      <c r="E8083" t="inlineStr">
        <is>
          <t>SVENLJUNGA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37570-2025</t>
        </is>
      </c>
      <c r="B8084" s="1" t="n">
        <v>45880.37358796296</v>
      </c>
      <c r="C8084" s="1" t="n">
        <v>46011</v>
      </c>
      <c r="D8084" t="inlineStr">
        <is>
          <t>VÄSTRA GÖTALANDS LÄN</t>
        </is>
      </c>
      <c r="E8084" t="inlineStr">
        <is>
          <t>MÖLNDAL</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53761-2024</t>
        </is>
      </c>
      <c r="B8085" s="1" t="n">
        <v>45615.50958333333</v>
      </c>
      <c r="C8085" s="1" t="n">
        <v>46011</v>
      </c>
      <c r="D8085" t="inlineStr">
        <is>
          <t>VÄSTRA GÖTALANDS LÄN</t>
        </is>
      </c>
      <c r="E8085" t="inlineStr">
        <is>
          <t>STRÖMSTAD</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37505-2025</t>
        </is>
      </c>
      <c r="B8086" s="1" t="n">
        <v>45877.65163194444</v>
      </c>
      <c r="C8086" s="1" t="n">
        <v>46011</v>
      </c>
      <c r="D8086" t="inlineStr">
        <is>
          <t>VÄSTRA GÖTALANDS LÄN</t>
        </is>
      </c>
      <c r="E8086" t="inlineStr">
        <is>
          <t>MARK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29588-2024</t>
        </is>
      </c>
      <c r="B8087" s="1" t="n">
        <v>45484</v>
      </c>
      <c r="C8087" s="1" t="n">
        <v>46011</v>
      </c>
      <c r="D8087" t="inlineStr">
        <is>
          <t>VÄSTRA GÖTALANDS LÄN</t>
        </is>
      </c>
      <c r="E8087" t="inlineStr">
        <is>
          <t>MUNKEDAL</t>
        </is>
      </c>
      <c r="F8087" t="inlineStr">
        <is>
          <t>Övriga Aktiebolag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55077-2024</t>
        </is>
      </c>
      <c r="B8088" s="1" t="n">
        <v>45621.42699074074</v>
      </c>
      <c r="C8088" s="1" t="n">
        <v>46011</v>
      </c>
      <c r="D8088" t="inlineStr">
        <is>
          <t>VÄSTRA GÖTALANDS LÄN</t>
        </is>
      </c>
      <c r="E8088" t="inlineStr">
        <is>
          <t>DALS-ED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42611-2024</t>
        </is>
      </c>
      <c r="B8089" s="1" t="n">
        <v>45565.78096064815</v>
      </c>
      <c r="C8089" s="1" t="n">
        <v>46011</v>
      </c>
      <c r="D8089" t="inlineStr">
        <is>
          <t>VÄSTRA GÖTALANDS LÄN</t>
        </is>
      </c>
      <c r="E8089" t="inlineStr">
        <is>
          <t>SVENLJUNGA</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49725-2024</t>
        </is>
      </c>
      <c r="B8090" s="1" t="n">
        <v>45596.74619212963</v>
      </c>
      <c r="C8090" s="1" t="n">
        <v>46011</v>
      </c>
      <c r="D8090" t="inlineStr">
        <is>
          <t>VÄSTRA GÖTALANDS LÄN</t>
        </is>
      </c>
      <c r="E8090" t="inlineStr">
        <is>
          <t>MARK</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2486-2025</t>
        </is>
      </c>
      <c r="B8091" s="1" t="n">
        <v>45673</v>
      </c>
      <c r="C8091" s="1" t="n">
        <v>46011</v>
      </c>
      <c r="D8091" t="inlineStr">
        <is>
          <t>VÄSTRA GÖTALANDS LÄN</t>
        </is>
      </c>
      <c r="E8091" t="inlineStr">
        <is>
          <t>TANUM</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14185-2025</t>
        </is>
      </c>
      <c r="B8092" s="1" t="n">
        <v>45740.54445601852</v>
      </c>
      <c r="C8092" s="1" t="n">
        <v>46011</v>
      </c>
      <c r="D8092" t="inlineStr">
        <is>
          <t>VÄSTRA GÖTALANDS LÄN</t>
        </is>
      </c>
      <c r="E8092" t="inlineStr">
        <is>
          <t>MUNKEDAL</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47334-2024</t>
        </is>
      </c>
      <c r="B8093" s="1" t="n">
        <v>45587.39581018518</v>
      </c>
      <c r="C8093" s="1" t="n">
        <v>46011</v>
      </c>
      <c r="D8093" t="inlineStr">
        <is>
          <t>VÄSTRA GÖTALANDS LÄN</t>
        </is>
      </c>
      <c r="E8093" t="inlineStr">
        <is>
          <t>HÄRRYDA</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17486-2025</t>
        </is>
      </c>
      <c r="B8094" s="1" t="n">
        <v>45757.50133101852</v>
      </c>
      <c r="C8094" s="1" t="n">
        <v>46011</v>
      </c>
      <c r="D8094" t="inlineStr">
        <is>
          <t>VÄSTRA GÖTALANDS LÄN</t>
        </is>
      </c>
      <c r="E8094" t="inlineStr">
        <is>
          <t>FÄRGELANDA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57124-2025</t>
        </is>
      </c>
      <c r="B8095" s="1" t="n">
        <v>45979.47041666666</v>
      </c>
      <c r="C8095" s="1" t="n">
        <v>46011</v>
      </c>
      <c r="D8095" t="inlineStr">
        <is>
          <t>VÄSTRA GÖTALANDS LÄN</t>
        </is>
      </c>
      <c r="E8095" t="inlineStr">
        <is>
          <t>TIDAHOLM</t>
        </is>
      </c>
      <c r="F8095" t="inlineStr">
        <is>
          <t>Kyrkan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7414-2025</t>
        </is>
      </c>
      <c r="B8096" s="1" t="n">
        <v>45705.37196759259</v>
      </c>
      <c r="C8096" s="1" t="n">
        <v>46011</v>
      </c>
      <c r="D8096" t="inlineStr">
        <is>
          <t>VÄSTRA GÖTALANDS LÄN</t>
        </is>
      </c>
      <c r="E8096" t="inlineStr">
        <is>
          <t>HERRLJUNGA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4027-2025</t>
        </is>
      </c>
      <c r="B8097" s="1" t="n">
        <v>45684.59524305556</v>
      </c>
      <c r="C8097" s="1" t="n">
        <v>46011</v>
      </c>
      <c r="D8097" t="inlineStr">
        <is>
          <t>VÄSTRA GÖTALANDS LÄN</t>
        </is>
      </c>
      <c r="E8097" t="inlineStr">
        <is>
          <t>MELLERUD</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4098-2025</t>
        </is>
      </c>
      <c r="B8098" s="1" t="n">
        <v>45684.68071759259</v>
      </c>
      <c r="C8098" s="1" t="n">
        <v>46011</v>
      </c>
      <c r="D8098" t="inlineStr">
        <is>
          <t>VÄSTRA GÖTALANDS LÄN</t>
        </is>
      </c>
      <c r="E8098" t="inlineStr">
        <is>
          <t>MARK</t>
        </is>
      </c>
      <c r="F8098" t="inlineStr">
        <is>
          <t>Sveaskog</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37751-2025</t>
        </is>
      </c>
      <c r="B8099" s="1" t="n">
        <v>45880.67349537037</v>
      </c>
      <c r="C8099" s="1" t="n">
        <v>46011</v>
      </c>
      <c r="D8099" t="inlineStr">
        <is>
          <t>VÄSTRA GÖTALANDS LÄN</t>
        </is>
      </c>
      <c r="E8099" t="inlineStr">
        <is>
          <t>ULRICEHAMN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49081-2025</t>
        </is>
      </c>
      <c r="B8100" s="1" t="n">
        <v>45937.66361111111</v>
      </c>
      <c r="C8100" s="1" t="n">
        <v>46011</v>
      </c>
      <c r="D8100" t="inlineStr">
        <is>
          <t>VÄSTRA GÖTALANDS LÄN</t>
        </is>
      </c>
      <c r="E8100" t="inlineStr">
        <is>
          <t>BORÅS</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50532-2024</t>
        </is>
      </c>
      <c r="B8101" s="1" t="n">
        <v>45601.56552083333</v>
      </c>
      <c r="C8101" s="1" t="n">
        <v>46011</v>
      </c>
      <c r="D8101" t="inlineStr">
        <is>
          <t>VÄSTRA GÖTALANDS LÄN</t>
        </is>
      </c>
      <c r="E8101" t="inlineStr">
        <is>
          <t>ORUST</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4597-2025</t>
        </is>
      </c>
      <c r="B8102" s="1" t="n">
        <v>45687.54652777778</v>
      </c>
      <c r="C8102" s="1" t="n">
        <v>46011</v>
      </c>
      <c r="D8102" t="inlineStr">
        <is>
          <t>VÄSTRA GÖTALANDS LÄN</t>
        </is>
      </c>
      <c r="E8102" t="inlineStr">
        <is>
          <t>BENGTSFORS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20233-2025</t>
        </is>
      </c>
      <c r="B8103" s="1" t="n">
        <v>45772.66884259259</v>
      </c>
      <c r="C8103" s="1" t="n">
        <v>46011</v>
      </c>
      <c r="D8103" t="inlineStr">
        <is>
          <t>VÄSTRA GÖTALANDS LÄN</t>
        </is>
      </c>
      <c r="E8103" t="inlineStr">
        <is>
          <t>HERRLJUNGA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57891-2024</t>
        </is>
      </c>
      <c r="B8104" s="1" t="n">
        <v>45631.46885416667</v>
      </c>
      <c r="C8104" s="1" t="n">
        <v>46011</v>
      </c>
      <c r="D8104" t="inlineStr">
        <is>
          <t>VÄSTRA GÖTALANDS LÄN</t>
        </is>
      </c>
      <c r="E8104" t="inlineStr">
        <is>
          <t>MARK</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49304-2025</t>
        </is>
      </c>
      <c r="B8105" s="1" t="n">
        <v>45938.55462962963</v>
      </c>
      <c r="C8105" s="1" t="n">
        <v>46011</v>
      </c>
      <c r="D8105" t="inlineStr">
        <is>
          <t>VÄSTRA GÖTALANDS LÄN</t>
        </is>
      </c>
      <c r="E8105" t="inlineStr">
        <is>
          <t>SVENLJUNGA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32772-2025</t>
        </is>
      </c>
      <c r="B8106" s="1" t="n">
        <v>45839.46179398148</v>
      </c>
      <c r="C8106" s="1" t="n">
        <v>46011</v>
      </c>
      <c r="D8106" t="inlineStr">
        <is>
          <t>VÄSTRA GÖTALANDS LÄN</t>
        </is>
      </c>
      <c r="E8106" t="inlineStr">
        <is>
          <t>HERRLJUNGA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37398-2025</t>
        </is>
      </c>
      <c r="B8107" s="1" t="n">
        <v>45877</v>
      </c>
      <c r="C8107" s="1" t="n">
        <v>46011</v>
      </c>
      <c r="D8107" t="inlineStr">
        <is>
          <t>VÄSTRA GÖTALANDS LÄN</t>
        </is>
      </c>
      <c r="E8107" t="inlineStr">
        <is>
          <t>VARA</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20651-2021</t>
        </is>
      </c>
      <c r="B8108" s="1" t="n">
        <v>44316.41503472222</v>
      </c>
      <c r="C8108" s="1" t="n">
        <v>46011</v>
      </c>
      <c r="D8108" t="inlineStr">
        <is>
          <t>VÄSTRA GÖTALANDS LÄN</t>
        </is>
      </c>
      <c r="E8108" t="inlineStr">
        <is>
          <t>HJO</t>
        </is>
      </c>
      <c r="F8108" t="inlineStr">
        <is>
          <t>Övriga Aktiebolag</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17236-2023</t>
        </is>
      </c>
      <c r="B8109" s="1" t="n">
        <v>45035</v>
      </c>
      <c r="C8109" s="1" t="n">
        <v>46011</v>
      </c>
      <c r="D8109" t="inlineStr">
        <is>
          <t>VÄSTRA GÖTALANDS LÄN</t>
        </is>
      </c>
      <c r="E8109" t="inlineStr">
        <is>
          <t>ULRICEHAMN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52030-2024</t>
        </is>
      </c>
      <c r="B8110" s="1" t="n">
        <v>45608.27928240741</v>
      </c>
      <c r="C8110" s="1" t="n">
        <v>46011</v>
      </c>
      <c r="D8110" t="inlineStr">
        <is>
          <t>VÄSTRA GÖTALANDS LÄN</t>
        </is>
      </c>
      <c r="E8110" t="inlineStr">
        <is>
          <t>TIDAHOLM</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26830-2021</t>
        </is>
      </c>
      <c r="B8111" s="1" t="n">
        <v>44349.57394675926</v>
      </c>
      <c r="C8111" s="1" t="n">
        <v>46011</v>
      </c>
      <c r="D8111" t="inlineStr">
        <is>
          <t>VÄSTRA GÖTALANDS LÄN</t>
        </is>
      </c>
      <c r="E8111" t="inlineStr">
        <is>
          <t>BENGTSFORS</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48336-2024</t>
        </is>
      </c>
      <c r="B8112" s="1" t="n">
        <v>45590.54072916666</v>
      </c>
      <c r="C8112" s="1" t="n">
        <v>46011</v>
      </c>
      <c r="D8112" t="inlineStr">
        <is>
          <t>VÄSTRA GÖTALANDS LÄN</t>
        </is>
      </c>
      <c r="E8112" t="inlineStr">
        <is>
          <t>SKÖVDE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48341-2024</t>
        </is>
      </c>
      <c r="B8113" s="1" t="n">
        <v>45590.54883101852</v>
      </c>
      <c r="C8113" s="1" t="n">
        <v>46011</v>
      </c>
      <c r="D8113" t="inlineStr">
        <is>
          <t>VÄSTRA GÖTALANDS LÄN</t>
        </is>
      </c>
      <c r="E8113" t="inlineStr">
        <is>
          <t>DALS-ED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3336-2025</t>
        </is>
      </c>
      <c r="B8114" s="1" t="n">
        <v>45679.71759259259</v>
      </c>
      <c r="C8114" s="1" t="n">
        <v>46011</v>
      </c>
      <c r="D8114" t="inlineStr">
        <is>
          <t>VÄSTRA GÖTALANDS LÄN</t>
        </is>
      </c>
      <c r="E8114" t="inlineStr">
        <is>
          <t>GULLSPÅNG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37367-2025</t>
        </is>
      </c>
      <c r="B8115" s="1" t="n">
        <v>45877.34076388889</v>
      </c>
      <c r="C8115" s="1" t="n">
        <v>46011</v>
      </c>
      <c r="D8115" t="inlineStr">
        <is>
          <t>VÄSTRA GÖTALANDS LÄN</t>
        </is>
      </c>
      <c r="E8115" t="inlineStr">
        <is>
          <t>ULRICEHAMN</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28230-2021</t>
        </is>
      </c>
      <c r="B8116" s="1" t="n">
        <v>44355</v>
      </c>
      <c r="C8116" s="1" t="n">
        <v>46011</v>
      </c>
      <c r="D8116" t="inlineStr">
        <is>
          <t>VÄSTRA GÖTALANDS LÄN</t>
        </is>
      </c>
      <c r="E8116" t="inlineStr">
        <is>
          <t>TRANEMO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48990-2025</t>
        </is>
      </c>
      <c r="B8117" s="1" t="n">
        <v>45937</v>
      </c>
      <c r="C8117" s="1" t="n">
        <v>46011</v>
      </c>
      <c r="D8117" t="inlineStr">
        <is>
          <t>VÄSTRA GÖTALANDS LÄN</t>
        </is>
      </c>
      <c r="E8117" t="inlineStr">
        <is>
          <t>ULRICEHAMN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54099-2024</t>
        </is>
      </c>
      <c r="B8118" s="1" t="n">
        <v>45616.52010416667</v>
      </c>
      <c r="C8118" s="1" t="n">
        <v>46011</v>
      </c>
      <c r="D8118" t="inlineStr">
        <is>
          <t>VÄSTRA GÖTALANDS LÄN</t>
        </is>
      </c>
      <c r="E8118" t="inlineStr">
        <is>
          <t>BENGTSFORS</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54100-2024</t>
        </is>
      </c>
      <c r="B8119" s="1" t="n">
        <v>45616.5225</v>
      </c>
      <c r="C8119" s="1" t="n">
        <v>46011</v>
      </c>
      <c r="D8119" t="inlineStr">
        <is>
          <t>VÄSTRA GÖTALANDS LÄN</t>
        </is>
      </c>
      <c r="E8119" t="inlineStr">
        <is>
          <t>FALKÖPING</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37374-2025</t>
        </is>
      </c>
      <c r="B8120" s="1" t="n">
        <v>45877.35587962963</v>
      </c>
      <c r="C8120" s="1" t="n">
        <v>46011</v>
      </c>
      <c r="D8120" t="inlineStr">
        <is>
          <t>VÄSTRA GÖTALANDS LÄN</t>
        </is>
      </c>
      <c r="E8120" t="inlineStr">
        <is>
          <t>TRANEMO</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37375-2025</t>
        </is>
      </c>
      <c r="B8121" s="1" t="n">
        <v>45877.3594212963</v>
      </c>
      <c r="C8121" s="1" t="n">
        <v>46011</v>
      </c>
      <c r="D8121" t="inlineStr">
        <is>
          <t>VÄSTRA GÖTALANDS LÄN</t>
        </is>
      </c>
      <c r="E8121" t="inlineStr">
        <is>
          <t>TRANEMO</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49169-2025</t>
        </is>
      </c>
      <c r="B8122" s="1" t="n">
        <v>45938.36971064815</v>
      </c>
      <c r="C8122" s="1" t="n">
        <v>46011</v>
      </c>
      <c r="D8122" t="inlineStr">
        <is>
          <t>VÄSTRA GÖTALANDS LÄN</t>
        </is>
      </c>
      <c r="E8122" t="inlineStr">
        <is>
          <t>TÖREBODA</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49243-2025</t>
        </is>
      </c>
      <c r="B8123" s="1" t="n">
        <v>45938.48791666667</v>
      </c>
      <c r="C8123" s="1" t="n">
        <v>46011</v>
      </c>
      <c r="D8123" t="inlineStr">
        <is>
          <t>VÄSTRA GÖTALANDS LÄN</t>
        </is>
      </c>
      <c r="E8123" t="inlineStr">
        <is>
          <t>BORÅS</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57414-2024</t>
        </is>
      </c>
      <c r="B8124" s="1" t="n">
        <v>45629.76608796296</v>
      </c>
      <c r="C8124" s="1" t="n">
        <v>46011</v>
      </c>
      <c r="D8124" t="inlineStr">
        <is>
          <t>VÄSTRA GÖTALANDS LÄN</t>
        </is>
      </c>
      <c r="E8124" t="inlineStr">
        <is>
          <t>MARK</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57419-2024</t>
        </is>
      </c>
      <c r="B8125" s="1" t="n">
        <v>45629.79951388889</v>
      </c>
      <c r="C8125" s="1" t="n">
        <v>46011</v>
      </c>
      <c r="D8125" t="inlineStr">
        <is>
          <t>VÄSTRA GÖTALANDS LÄN</t>
        </is>
      </c>
      <c r="E8125" t="inlineStr">
        <is>
          <t>BORÅS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49171-2025</t>
        </is>
      </c>
      <c r="B8126" s="1" t="n">
        <v>45938.37202546297</v>
      </c>
      <c r="C8126" s="1" t="n">
        <v>46011</v>
      </c>
      <c r="D8126" t="inlineStr">
        <is>
          <t>VÄSTRA GÖTALANDS LÄN</t>
        </is>
      </c>
      <c r="E8126" t="inlineStr">
        <is>
          <t>TÖREBODA</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57421-2024</t>
        </is>
      </c>
      <c r="B8127" s="1" t="n">
        <v>45629.80734953703</v>
      </c>
      <c r="C8127" s="1" t="n">
        <v>46011</v>
      </c>
      <c r="D8127" t="inlineStr">
        <is>
          <t>VÄSTRA GÖTALANDS LÄN</t>
        </is>
      </c>
      <c r="E8127" t="inlineStr">
        <is>
          <t>BORÅS</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57426-2024</t>
        </is>
      </c>
      <c r="B8128" s="1" t="n">
        <v>45629.82334490741</v>
      </c>
      <c r="C8128" s="1" t="n">
        <v>46011</v>
      </c>
      <c r="D8128" t="inlineStr">
        <is>
          <t>VÄSTRA GÖTALANDS LÄN</t>
        </is>
      </c>
      <c r="E8128" t="inlineStr">
        <is>
          <t>BORÅS</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57445-2024</t>
        </is>
      </c>
      <c r="B8129" s="1" t="n">
        <v>45629.92240740741</v>
      </c>
      <c r="C8129" s="1" t="n">
        <v>46011</v>
      </c>
      <c r="D8129" t="inlineStr">
        <is>
          <t>VÄSTRA GÖTALANDS LÄN</t>
        </is>
      </c>
      <c r="E8129" t="inlineStr">
        <is>
          <t>ORUST</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49385-2025</t>
        </is>
      </c>
      <c r="B8130" s="1" t="n">
        <v>45938.6440625</v>
      </c>
      <c r="C8130" s="1" t="n">
        <v>46011</v>
      </c>
      <c r="D8130" t="inlineStr">
        <is>
          <t>VÄSTRA GÖTALANDS LÄN</t>
        </is>
      </c>
      <c r="E8130" t="inlineStr">
        <is>
          <t>SVENLJUNGA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23326-2022</t>
        </is>
      </c>
      <c r="B8131" s="1" t="n">
        <v>44720.50216435185</v>
      </c>
      <c r="C8131" s="1" t="n">
        <v>46011</v>
      </c>
      <c r="D8131" t="inlineStr">
        <is>
          <t>VÄSTRA GÖTALANDS LÄN</t>
        </is>
      </c>
      <c r="E8131" t="inlineStr">
        <is>
          <t>MARK</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3657-2025</t>
        </is>
      </c>
      <c r="B8132" s="1" t="n">
        <v>45681.41366898148</v>
      </c>
      <c r="C8132" s="1" t="n">
        <v>46011</v>
      </c>
      <c r="D8132" t="inlineStr">
        <is>
          <t>VÄSTRA GÖTALANDS LÄN</t>
        </is>
      </c>
      <c r="E8132" t="inlineStr">
        <is>
          <t>MARK</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8576-2025</t>
        </is>
      </c>
      <c r="B8133" s="1" t="n">
        <v>45709.6652662037</v>
      </c>
      <c r="C8133" s="1" t="n">
        <v>46011</v>
      </c>
      <c r="D8133" t="inlineStr">
        <is>
          <t>VÄSTRA GÖTALANDS LÄN</t>
        </is>
      </c>
      <c r="E8133" t="inlineStr">
        <is>
          <t>MUNKEDAL</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27162-2023</t>
        </is>
      </c>
      <c r="B8134" s="1" t="n">
        <v>45096.48693287037</v>
      </c>
      <c r="C8134" s="1" t="n">
        <v>46011</v>
      </c>
      <c r="D8134" t="inlineStr">
        <is>
          <t>VÄSTRA GÖTALANDS LÄN</t>
        </is>
      </c>
      <c r="E8134" t="inlineStr">
        <is>
          <t>TRANEMO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27166-2023</t>
        </is>
      </c>
      <c r="B8135" s="1" t="n">
        <v>45096.49310185185</v>
      </c>
      <c r="C8135" s="1" t="n">
        <v>46011</v>
      </c>
      <c r="D8135" t="inlineStr">
        <is>
          <t>VÄSTRA GÖTALANDS LÄN</t>
        </is>
      </c>
      <c r="E8135" t="inlineStr">
        <is>
          <t>TRANEMO</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57088-2025</t>
        </is>
      </c>
      <c r="B8136" s="1" t="n">
        <v>45979.42400462963</v>
      </c>
      <c r="C8136" s="1" t="n">
        <v>46011</v>
      </c>
      <c r="D8136" t="inlineStr">
        <is>
          <t>VÄSTRA GÖTALANDS LÄN</t>
        </is>
      </c>
      <c r="E8136" t="inlineStr">
        <is>
          <t>ÅMÅL</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57096-2025</t>
        </is>
      </c>
      <c r="B8137" s="1" t="n">
        <v>45979.43319444444</v>
      </c>
      <c r="C8137" s="1" t="n">
        <v>46011</v>
      </c>
      <c r="D8137" t="inlineStr">
        <is>
          <t>VÄSTRA GÖTALANDS LÄN</t>
        </is>
      </c>
      <c r="E8137" t="inlineStr">
        <is>
          <t>ÅMÅL</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57130-2025</t>
        </is>
      </c>
      <c r="B8138" s="1" t="n">
        <v>45979.47361111111</v>
      </c>
      <c r="C8138" s="1" t="n">
        <v>46011</v>
      </c>
      <c r="D8138" t="inlineStr">
        <is>
          <t>VÄSTRA GÖTALANDS LÄN</t>
        </is>
      </c>
      <c r="E8138" t="inlineStr">
        <is>
          <t>BORÅS</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37612-2025</t>
        </is>
      </c>
      <c r="B8139" s="1" t="n">
        <v>45880.4324537037</v>
      </c>
      <c r="C8139" s="1" t="n">
        <v>46011</v>
      </c>
      <c r="D8139" t="inlineStr">
        <is>
          <t>VÄSTRA GÖTALANDS LÄN</t>
        </is>
      </c>
      <c r="E8139" t="inlineStr">
        <is>
          <t>TRANEMO</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37637-2025</t>
        </is>
      </c>
      <c r="B8140" s="1" t="n">
        <v>45880.47231481481</v>
      </c>
      <c r="C8140" s="1" t="n">
        <v>46011</v>
      </c>
      <c r="D8140" t="inlineStr">
        <is>
          <t>VÄSTRA GÖTALANDS LÄN</t>
        </is>
      </c>
      <c r="E8140" t="inlineStr">
        <is>
          <t>TANUM</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57545-2025</t>
        </is>
      </c>
      <c r="B8141" s="1" t="n">
        <v>45980.65587962963</v>
      </c>
      <c r="C8141" s="1" t="n">
        <v>46011</v>
      </c>
      <c r="D8141" t="inlineStr">
        <is>
          <t>VÄSTRA GÖTALANDS LÄN</t>
        </is>
      </c>
      <c r="E8141" t="inlineStr">
        <is>
          <t>SVENLJUNGA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32241-2023</t>
        </is>
      </c>
      <c r="B8142" s="1" t="n">
        <v>45119</v>
      </c>
      <c r="C8142" s="1" t="n">
        <v>46011</v>
      </c>
      <c r="D8142" t="inlineStr">
        <is>
          <t>VÄSTRA GÖTALANDS LÄN</t>
        </is>
      </c>
      <c r="E8142" t="inlineStr">
        <is>
          <t>BORÅS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35959-2022</t>
        </is>
      </c>
      <c r="B8143" s="1" t="n">
        <v>44802.57002314815</v>
      </c>
      <c r="C8143" s="1" t="n">
        <v>46011</v>
      </c>
      <c r="D8143" t="inlineStr">
        <is>
          <t>VÄSTRA GÖTALANDS LÄN</t>
        </is>
      </c>
      <c r="E8143" t="inlineStr">
        <is>
          <t>ALE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29685-2022</t>
        </is>
      </c>
      <c r="B8144" s="1" t="n">
        <v>44755.30305555555</v>
      </c>
      <c r="C8144" s="1" t="n">
        <v>46011</v>
      </c>
      <c r="D8144" t="inlineStr">
        <is>
          <t>VÄSTRA GÖTALANDS LÄN</t>
        </is>
      </c>
      <c r="E8144" t="inlineStr">
        <is>
          <t>KARLSBORG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29696-2022</t>
        </is>
      </c>
      <c r="B8145" s="1" t="n">
        <v>44755</v>
      </c>
      <c r="C8145" s="1" t="n">
        <v>46011</v>
      </c>
      <c r="D8145" t="inlineStr">
        <is>
          <t>VÄSTRA GÖTALANDS LÄN</t>
        </is>
      </c>
      <c r="E8145" t="inlineStr">
        <is>
          <t>BENGTSFORS</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46523-2024</t>
        </is>
      </c>
      <c r="B8146" s="1" t="n">
        <v>45582.6306712963</v>
      </c>
      <c r="C8146" s="1" t="n">
        <v>46011</v>
      </c>
      <c r="D8146" t="inlineStr">
        <is>
          <t>VÄSTRA GÖTALANDS LÄN</t>
        </is>
      </c>
      <c r="E8146" t="inlineStr">
        <is>
          <t>VÄNERSBORG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49288-2025</t>
        </is>
      </c>
      <c r="B8147" s="1" t="n">
        <v>45938.52655092593</v>
      </c>
      <c r="C8147" s="1" t="n">
        <v>46011</v>
      </c>
      <c r="D8147" t="inlineStr">
        <is>
          <t>VÄSTRA GÖTALANDS LÄN</t>
        </is>
      </c>
      <c r="E8147" t="inlineStr">
        <is>
          <t>HERRLJUNGA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46418-2024</t>
        </is>
      </c>
      <c r="B8148" s="1" t="n">
        <v>45582.45601851852</v>
      </c>
      <c r="C8148" s="1" t="n">
        <v>46011</v>
      </c>
      <c r="D8148" t="inlineStr">
        <is>
          <t>VÄSTRA GÖTALANDS LÄN</t>
        </is>
      </c>
      <c r="E8148" t="inlineStr">
        <is>
          <t>MUNKEDAL</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46434-2024</t>
        </is>
      </c>
      <c r="B8149" s="1" t="n">
        <v>45582.47346064815</v>
      </c>
      <c r="C8149" s="1" t="n">
        <v>46011</v>
      </c>
      <c r="D8149" t="inlineStr">
        <is>
          <t>VÄSTRA GÖTALANDS LÄN</t>
        </is>
      </c>
      <c r="E8149" t="inlineStr">
        <is>
          <t>MUNKEDAL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46439-2024</t>
        </is>
      </c>
      <c r="B8150" s="1" t="n">
        <v>45582.48012731481</v>
      </c>
      <c r="C8150" s="1" t="n">
        <v>46011</v>
      </c>
      <c r="D8150" t="inlineStr">
        <is>
          <t>VÄSTRA GÖTALANDS LÄN</t>
        </is>
      </c>
      <c r="E8150" t="inlineStr">
        <is>
          <t>BORÅS</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49373-2025</t>
        </is>
      </c>
      <c r="B8151" s="1" t="n">
        <v>45938.63424768519</v>
      </c>
      <c r="C8151" s="1" t="n">
        <v>46011</v>
      </c>
      <c r="D8151" t="inlineStr">
        <is>
          <t>VÄSTRA GÖTALANDS LÄN</t>
        </is>
      </c>
      <c r="E8151" t="inlineStr">
        <is>
          <t>ÅMÅL</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57576-2024</t>
        </is>
      </c>
      <c r="B8152" s="1" t="n">
        <v>45630.47453703704</v>
      </c>
      <c r="C8152" s="1" t="n">
        <v>46011</v>
      </c>
      <c r="D8152" t="inlineStr">
        <is>
          <t>VÄSTRA GÖTALANDS LÄN</t>
        </is>
      </c>
      <c r="E8152" t="inlineStr">
        <is>
          <t>TIDAHOLM</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57600-2024</t>
        </is>
      </c>
      <c r="B8153" s="1" t="n">
        <v>45630.51900462963</v>
      </c>
      <c r="C8153" s="1" t="n">
        <v>46011</v>
      </c>
      <c r="D8153" t="inlineStr">
        <is>
          <t>VÄSTRA GÖTALANDS LÄN</t>
        </is>
      </c>
      <c r="E8153" t="inlineStr">
        <is>
          <t>SVENLJUNGA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49397-2025</t>
        </is>
      </c>
      <c r="B8154" s="1" t="n">
        <v>45938.66553240741</v>
      </c>
      <c r="C8154" s="1" t="n">
        <v>46011</v>
      </c>
      <c r="D8154" t="inlineStr">
        <is>
          <t>VÄSTRA GÖTALANDS LÄN</t>
        </is>
      </c>
      <c r="E8154" t="inlineStr">
        <is>
          <t>ULRICEHAMN</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49399-2025</t>
        </is>
      </c>
      <c r="B8155" s="1" t="n">
        <v>45938.66871527778</v>
      </c>
      <c r="C8155" s="1" t="n">
        <v>46011</v>
      </c>
      <c r="D8155" t="inlineStr">
        <is>
          <t>VÄSTRA GÖTALANDS LÄN</t>
        </is>
      </c>
      <c r="E8155" t="inlineStr">
        <is>
          <t>BENGTSFORS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44279-2024</t>
        </is>
      </c>
      <c r="B8156" s="1" t="n">
        <v>45573.49206018518</v>
      </c>
      <c r="C8156" s="1" t="n">
        <v>46011</v>
      </c>
      <c r="D8156" t="inlineStr">
        <is>
          <t>VÄSTRA GÖTALANDS LÄN</t>
        </is>
      </c>
      <c r="E8156" t="inlineStr">
        <is>
          <t>TRANEMO</t>
        </is>
      </c>
      <c r="F8156" t="inlineStr">
        <is>
          <t>Sveaskog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49418-2025</t>
        </is>
      </c>
      <c r="B8157" s="1" t="n">
        <v>45938.69974537037</v>
      </c>
      <c r="C8157" s="1" t="n">
        <v>46011</v>
      </c>
      <c r="D8157" t="inlineStr">
        <is>
          <t>VÄSTRA GÖTALANDS LÄN</t>
        </is>
      </c>
      <c r="E8157" t="inlineStr">
        <is>
          <t>ALINGSÅS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37706-2025</t>
        </is>
      </c>
      <c r="B8158" s="1" t="n">
        <v>45880.59420138889</v>
      </c>
      <c r="C8158" s="1" t="n">
        <v>46011</v>
      </c>
      <c r="D8158" t="inlineStr">
        <is>
          <t>VÄSTRA GÖTALANDS LÄN</t>
        </is>
      </c>
      <c r="E8158" t="inlineStr">
        <is>
          <t>ULRICEHAMN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3224-2025</t>
        </is>
      </c>
      <c r="B8159" s="1" t="n">
        <v>45679</v>
      </c>
      <c r="C8159" s="1" t="n">
        <v>46011</v>
      </c>
      <c r="D8159" t="inlineStr">
        <is>
          <t>VÄSTRA GÖTALANDS LÄN</t>
        </is>
      </c>
      <c r="E8159" t="inlineStr">
        <is>
          <t>HERRLJUNGA</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44301-2024</t>
        </is>
      </c>
      <c r="B8160" s="1" t="n">
        <v>45573.55783564815</v>
      </c>
      <c r="C8160" s="1" t="n">
        <v>46011</v>
      </c>
      <c r="D8160" t="inlineStr">
        <is>
          <t>VÄSTRA GÖTALANDS LÄN</t>
        </is>
      </c>
      <c r="E8160" t="inlineStr">
        <is>
          <t>ULRICEHAMN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49277-2025</t>
        </is>
      </c>
      <c r="B8161" s="1" t="n">
        <v>45938.50756944445</v>
      </c>
      <c r="C8161" s="1" t="n">
        <v>46011</v>
      </c>
      <c r="D8161" t="inlineStr">
        <is>
          <t>VÄSTRA GÖTALANDS LÄN</t>
        </is>
      </c>
      <c r="E8161" t="inlineStr">
        <is>
          <t>BOLLEBYGD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49278-2025</t>
        </is>
      </c>
      <c r="B8162" s="1" t="n">
        <v>45938.50790509259</v>
      </c>
      <c r="C8162" s="1" t="n">
        <v>46011</v>
      </c>
      <c r="D8162" t="inlineStr">
        <is>
          <t>VÄSTRA GÖTALANDS LÄN</t>
        </is>
      </c>
      <c r="E8162" t="inlineStr">
        <is>
          <t>HJO</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49269-2025</t>
        </is>
      </c>
      <c r="B8163" s="1" t="n">
        <v>45938.50247685185</v>
      </c>
      <c r="C8163" s="1" t="n">
        <v>46011</v>
      </c>
      <c r="D8163" t="inlineStr">
        <is>
          <t>VÄSTRA GÖTALANDS LÄN</t>
        </is>
      </c>
      <c r="E8163" t="inlineStr">
        <is>
          <t>BOLLEBYGD</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49015-2025</t>
        </is>
      </c>
      <c r="B8164" s="1" t="n">
        <v>45937.61165509259</v>
      </c>
      <c r="C8164" s="1" t="n">
        <v>46011</v>
      </c>
      <c r="D8164" t="inlineStr">
        <is>
          <t>VÄSTRA GÖTALANDS LÄN</t>
        </is>
      </c>
      <c r="E8164" t="inlineStr">
        <is>
          <t>MARIESTAD</t>
        </is>
      </c>
      <c r="G8164" t="n">
        <v>8.9</v>
      </c>
      <c r="H8164" t="n">
        <v>0</v>
      </c>
      <c r="I8164" t="n">
        <v>0</v>
      </c>
      <c r="J8164" t="n">
        <v>0</v>
      </c>
      <c r="K8164" t="n">
        <v>0</v>
      </c>
      <c r="L8164" t="n">
        <v>0</v>
      </c>
      <c r="M8164" t="n">
        <v>0</v>
      </c>
      <c r="N8164" t="n">
        <v>0</v>
      </c>
      <c r="O8164" t="n">
        <v>0</v>
      </c>
      <c r="P8164" t="n">
        <v>0</v>
      </c>
      <c r="Q8164" t="n">
        <v>0</v>
      </c>
      <c r="R8164" s="2" t="inlineStr"/>
    </row>
    <row r="8165" ht="15" customHeight="1">
      <c r="A8165" t="inlineStr">
        <is>
          <t>A 49017-2025</t>
        </is>
      </c>
      <c r="B8165" s="1" t="n">
        <v>45937.61175925926</v>
      </c>
      <c r="C8165" s="1" t="n">
        <v>46011</v>
      </c>
      <c r="D8165" t="inlineStr">
        <is>
          <t>VÄSTRA GÖTALANDS LÄN</t>
        </is>
      </c>
      <c r="E8165" t="inlineStr">
        <is>
          <t>MARK</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37744-2025</t>
        </is>
      </c>
      <c r="B8166" s="1" t="n">
        <v>45880.66527777778</v>
      </c>
      <c r="C8166" s="1" t="n">
        <v>46011</v>
      </c>
      <c r="D8166" t="inlineStr">
        <is>
          <t>VÄSTRA GÖTALANDS LÄN</t>
        </is>
      </c>
      <c r="E8166" t="inlineStr">
        <is>
          <t>MARK</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49085-2025</t>
        </is>
      </c>
      <c r="B8167" s="1" t="n">
        <v>45937.66828703704</v>
      </c>
      <c r="C8167" s="1" t="n">
        <v>46011</v>
      </c>
      <c r="D8167" t="inlineStr">
        <is>
          <t>VÄSTRA GÖTALANDS LÄN</t>
        </is>
      </c>
      <c r="E8167" t="inlineStr">
        <is>
          <t>TÖREBODA</t>
        </is>
      </c>
      <c r="F8167" t="inlineStr">
        <is>
          <t>Sveaskog</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49097-2025</t>
        </is>
      </c>
      <c r="B8168" s="1" t="n">
        <v>45937.6962037037</v>
      </c>
      <c r="C8168" s="1" t="n">
        <v>46011</v>
      </c>
      <c r="D8168" t="inlineStr">
        <is>
          <t>VÄSTRA GÖTALANDS LÄN</t>
        </is>
      </c>
      <c r="E8168" t="inlineStr">
        <is>
          <t>FÄRGELANDA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49101-2025</t>
        </is>
      </c>
      <c r="B8169" s="1" t="n">
        <v>45937.72148148148</v>
      </c>
      <c r="C8169" s="1" t="n">
        <v>46011</v>
      </c>
      <c r="D8169" t="inlineStr">
        <is>
          <t>VÄSTRA GÖTALANDS LÄN</t>
        </is>
      </c>
      <c r="E8169" t="inlineStr">
        <is>
          <t>MUNKEDAL</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28255-2023</t>
        </is>
      </c>
      <c r="B8170" s="1" t="n">
        <v>45099.60644675926</v>
      </c>
      <c r="C8170" s="1" t="n">
        <v>46011</v>
      </c>
      <c r="D8170" t="inlineStr">
        <is>
          <t>VÄSTRA GÖTALANDS LÄN</t>
        </is>
      </c>
      <c r="E8170" t="inlineStr">
        <is>
          <t>HERRLJUNGA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28266-2023</t>
        </is>
      </c>
      <c r="B8171" s="1" t="n">
        <v>45099</v>
      </c>
      <c r="C8171" s="1" t="n">
        <v>46011</v>
      </c>
      <c r="D8171" t="inlineStr">
        <is>
          <t>VÄSTRA GÖTALANDS LÄN</t>
        </is>
      </c>
      <c r="E8171" t="inlineStr">
        <is>
          <t>SVENLJUNGA</t>
        </is>
      </c>
      <c r="G8171" t="n">
        <v>9.800000000000001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28285-2023</t>
        </is>
      </c>
      <c r="B8172" s="1" t="n">
        <v>45099.63011574074</v>
      </c>
      <c r="C8172" s="1" t="n">
        <v>46011</v>
      </c>
      <c r="D8172" t="inlineStr">
        <is>
          <t>VÄSTRA GÖTALANDS LÄN</t>
        </is>
      </c>
      <c r="E8172" t="inlineStr">
        <is>
          <t>MARK</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42016-2023</t>
        </is>
      </c>
      <c r="B8173" s="1" t="n">
        <v>45177.47246527778</v>
      </c>
      <c r="C8173" s="1" t="n">
        <v>46011</v>
      </c>
      <c r="D8173" t="inlineStr">
        <is>
          <t>VÄSTRA GÖTALANDS LÄN</t>
        </is>
      </c>
      <c r="E8173" t="inlineStr">
        <is>
          <t>TIBRO</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5328-2025</t>
        </is>
      </c>
      <c r="B8174" s="1" t="n">
        <v>45692.53454861111</v>
      </c>
      <c r="C8174" s="1" t="n">
        <v>46011</v>
      </c>
      <c r="D8174" t="inlineStr">
        <is>
          <t>VÄSTRA GÖTALANDS LÄN</t>
        </is>
      </c>
      <c r="E8174" t="inlineStr">
        <is>
          <t>LILLA EDET</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49105-2025</t>
        </is>
      </c>
      <c r="B8175" s="1" t="n">
        <v>45937.72574074074</v>
      </c>
      <c r="C8175" s="1" t="n">
        <v>46011</v>
      </c>
      <c r="D8175" t="inlineStr">
        <is>
          <t>VÄSTRA GÖTALANDS LÄN</t>
        </is>
      </c>
      <c r="E8175" t="inlineStr">
        <is>
          <t>LYSEKIL</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57528-2025</t>
        </is>
      </c>
      <c r="B8176" s="1" t="n">
        <v>45980.63429398148</v>
      </c>
      <c r="C8176" s="1" t="n">
        <v>46011</v>
      </c>
      <c r="D8176" t="inlineStr">
        <is>
          <t>VÄSTRA GÖTALANDS LÄN</t>
        </is>
      </c>
      <c r="E8176" t="inlineStr">
        <is>
          <t>MARK</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17388-2023</t>
        </is>
      </c>
      <c r="B8177" s="1" t="n">
        <v>45035</v>
      </c>
      <c r="C8177" s="1" t="n">
        <v>46011</v>
      </c>
      <c r="D8177" t="inlineStr">
        <is>
          <t>VÄSTRA GÖTALANDS LÄN</t>
        </is>
      </c>
      <c r="E8177" t="inlineStr">
        <is>
          <t>GULLSPÅNG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28385-2022</t>
        </is>
      </c>
      <c r="B8178" s="1" t="n">
        <v>44747.55924768518</v>
      </c>
      <c r="C8178" s="1" t="n">
        <v>46011</v>
      </c>
      <c r="D8178" t="inlineStr">
        <is>
          <t>VÄSTRA GÖTALANDS LÄN</t>
        </is>
      </c>
      <c r="E8178" t="inlineStr">
        <is>
          <t>VÄNERSBORG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21978-2021</t>
        </is>
      </c>
      <c r="B8179" s="1" t="n">
        <v>44323</v>
      </c>
      <c r="C8179" s="1" t="n">
        <v>46011</v>
      </c>
      <c r="D8179" t="inlineStr">
        <is>
          <t>VÄSTRA GÖTALANDS LÄN</t>
        </is>
      </c>
      <c r="E8179" t="inlineStr">
        <is>
          <t>KARLSBORG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37533-2025</t>
        </is>
      </c>
      <c r="B8180" s="1" t="n">
        <v>45878.46230324074</v>
      </c>
      <c r="C8180" s="1" t="n">
        <v>46011</v>
      </c>
      <c r="D8180" t="inlineStr">
        <is>
          <t>VÄSTRA GÖTALANDS LÄN</t>
        </is>
      </c>
      <c r="E8180" t="inlineStr">
        <is>
          <t>TIDAHOLM</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14981-2025</t>
        </is>
      </c>
      <c r="B8181" s="1" t="n">
        <v>45743.59576388889</v>
      </c>
      <c r="C8181" s="1" t="n">
        <v>46011</v>
      </c>
      <c r="D8181" t="inlineStr">
        <is>
          <t>VÄSTRA GÖTALANDS LÄN</t>
        </is>
      </c>
      <c r="E8181" t="inlineStr">
        <is>
          <t>STENUNGSUND</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37549-2025</t>
        </is>
      </c>
      <c r="B8182" s="1" t="n">
        <v>45879.8837037037</v>
      </c>
      <c r="C8182" s="1" t="n">
        <v>46011</v>
      </c>
      <c r="D8182" t="inlineStr">
        <is>
          <t>VÄSTRA GÖTALANDS LÄN</t>
        </is>
      </c>
      <c r="E8182" t="inlineStr">
        <is>
          <t>BENGTSFORS</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48955-2025</t>
        </is>
      </c>
      <c r="B8183" s="1" t="n">
        <v>45937</v>
      </c>
      <c r="C8183" s="1" t="n">
        <v>46011</v>
      </c>
      <c r="D8183" t="inlineStr">
        <is>
          <t>VÄSTRA GÖTALANDS LÄN</t>
        </is>
      </c>
      <c r="E8183" t="inlineStr">
        <is>
          <t>VÅRGÅRDA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14659-2021</t>
        </is>
      </c>
      <c r="B8184" s="1" t="n">
        <v>44280</v>
      </c>
      <c r="C8184" s="1" t="n">
        <v>46011</v>
      </c>
      <c r="D8184" t="inlineStr">
        <is>
          <t>VÄSTRA GÖTALANDS LÄN</t>
        </is>
      </c>
      <c r="E8184" t="inlineStr">
        <is>
          <t>ULRICEHAMN</t>
        </is>
      </c>
      <c r="G8184" t="n">
        <v>15.8</v>
      </c>
      <c r="H8184" t="n">
        <v>0</v>
      </c>
      <c r="I8184" t="n">
        <v>0</v>
      </c>
      <c r="J8184" t="n">
        <v>0</v>
      </c>
      <c r="K8184" t="n">
        <v>0</v>
      </c>
      <c r="L8184" t="n">
        <v>0</v>
      </c>
      <c r="M8184" t="n">
        <v>0</v>
      </c>
      <c r="N8184" t="n">
        <v>0</v>
      </c>
      <c r="O8184" t="n">
        <v>0</v>
      </c>
      <c r="P8184" t="n">
        <v>0</v>
      </c>
      <c r="Q8184" t="n">
        <v>0</v>
      </c>
      <c r="R8184" s="2" t="inlineStr"/>
    </row>
    <row r="8185" ht="15" customHeight="1">
      <c r="A8185" t="inlineStr">
        <is>
          <t>A 24594-2022</t>
        </is>
      </c>
      <c r="B8185" s="1" t="n">
        <v>44727.4684837963</v>
      </c>
      <c r="C8185" s="1" t="n">
        <v>46011</v>
      </c>
      <c r="D8185" t="inlineStr">
        <is>
          <t>VÄSTRA GÖTALANDS LÄN</t>
        </is>
      </c>
      <c r="E8185" t="inlineStr">
        <is>
          <t>KARLSBORG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24607-2022</t>
        </is>
      </c>
      <c r="B8186" s="1" t="n">
        <v>44727</v>
      </c>
      <c r="C8186" s="1" t="n">
        <v>46011</v>
      </c>
      <c r="D8186" t="inlineStr">
        <is>
          <t>VÄSTRA GÖTALANDS LÄN</t>
        </is>
      </c>
      <c r="E8186" t="inlineStr">
        <is>
          <t>ALINGSÅS</t>
        </is>
      </c>
      <c r="G8186" t="n">
        <v>9.5</v>
      </c>
      <c r="H8186" t="n">
        <v>0</v>
      </c>
      <c r="I8186" t="n">
        <v>0</v>
      </c>
      <c r="J8186" t="n">
        <v>0</v>
      </c>
      <c r="K8186" t="n">
        <v>0</v>
      </c>
      <c r="L8186" t="n">
        <v>0</v>
      </c>
      <c r="M8186" t="n">
        <v>0</v>
      </c>
      <c r="N8186" t="n">
        <v>0</v>
      </c>
      <c r="O8186" t="n">
        <v>0</v>
      </c>
      <c r="P8186" t="n">
        <v>0</v>
      </c>
      <c r="Q8186" t="n">
        <v>0</v>
      </c>
      <c r="R8186" s="2" t="inlineStr"/>
    </row>
    <row r="8187" ht="15" customHeight="1">
      <c r="A8187" t="inlineStr">
        <is>
          <t>A 49301-2025</t>
        </is>
      </c>
      <c r="B8187" s="1" t="n">
        <v>45938.55248842593</v>
      </c>
      <c r="C8187" s="1" t="n">
        <v>46011</v>
      </c>
      <c r="D8187" t="inlineStr">
        <is>
          <t>VÄSTRA GÖTALANDS LÄN</t>
        </is>
      </c>
      <c r="E8187" t="inlineStr">
        <is>
          <t>SVENLJUNGA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11809-2025</t>
        </is>
      </c>
      <c r="B8188" s="1" t="n">
        <v>45727.89780092592</v>
      </c>
      <c r="C8188" s="1" t="n">
        <v>46011</v>
      </c>
      <c r="D8188" t="inlineStr">
        <is>
          <t>VÄSTRA GÖTALANDS LÄN</t>
        </is>
      </c>
      <c r="E8188" t="inlineStr">
        <is>
          <t>GULLSPÅNG</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49020-2025</t>
        </is>
      </c>
      <c r="B8189" s="1" t="n">
        <v>45937.61548611111</v>
      </c>
      <c r="C8189" s="1" t="n">
        <v>46011</v>
      </c>
      <c r="D8189" t="inlineStr">
        <is>
          <t>VÄSTRA GÖTALANDS LÄN</t>
        </is>
      </c>
      <c r="E8189" t="inlineStr">
        <is>
          <t>BENGTSFORS</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57193-2023</t>
        </is>
      </c>
      <c r="B8190" s="1" t="n">
        <v>45239</v>
      </c>
      <c r="C8190" s="1" t="n">
        <v>46011</v>
      </c>
      <c r="D8190" t="inlineStr">
        <is>
          <t>VÄSTRA GÖTALANDS LÄN</t>
        </is>
      </c>
      <c r="E8190" t="inlineStr">
        <is>
          <t>ÅMÅL</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3008-2025</t>
        </is>
      </c>
      <c r="B8191" s="1" t="n">
        <v>45678</v>
      </c>
      <c r="C8191" s="1" t="n">
        <v>46011</v>
      </c>
      <c r="D8191" t="inlineStr">
        <is>
          <t>VÄSTRA GÖTALANDS LÄN</t>
        </is>
      </c>
      <c r="E8191" t="inlineStr">
        <is>
          <t>BORÅS</t>
        </is>
      </c>
      <c r="F8191" t="inlineStr">
        <is>
          <t>Kommuner</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51832-2025</t>
        </is>
      </c>
      <c r="B8192" s="1" t="n">
        <v>45952</v>
      </c>
      <c r="C8192" s="1" t="n">
        <v>46011</v>
      </c>
      <c r="D8192" t="inlineStr">
        <is>
          <t>VÄSTRA GÖTALANDS LÄN</t>
        </is>
      </c>
      <c r="E8192" t="inlineStr">
        <is>
          <t>BENGTSFORS</t>
        </is>
      </c>
      <c r="G8192" t="n">
        <v>11.6</v>
      </c>
      <c r="H8192" t="n">
        <v>0</v>
      </c>
      <c r="I8192" t="n">
        <v>0</v>
      </c>
      <c r="J8192" t="n">
        <v>0</v>
      </c>
      <c r="K8192" t="n">
        <v>0</v>
      </c>
      <c r="L8192" t="n">
        <v>0</v>
      </c>
      <c r="M8192" t="n">
        <v>0</v>
      </c>
      <c r="N8192" t="n">
        <v>0</v>
      </c>
      <c r="O8192" t="n">
        <v>0</v>
      </c>
      <c r="P8192" t="n">
        <v>0</v>
      </c>
      <c r="Q8192" t="n">
        <v>0</v>
      </c>
      <c r="R8192" s="2" t="inlineStr"/>
    </row>
    <row r="8193" ht="15" customHeight="1">
      <c r="A8193" t="inlineStr">
        <is>
          <t>A 37510-2023</t>
        </is>
      </c>
      <c r="B8193" s="1" t="n">
        <v>45158</v>
      </c>
      <c r="C8193" s="1" t="n">
        <v>46011</v>
      </c>
      <c r="D8193" t="inlineStr">
        <is>
          <t>VÄSTRA GÖTALANDS LÄN</t>
        </is>
      </c>
      <c r="E8193" t="inlineStr">
        <is>
          <t>LILLA EDET</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37515-2023</t>
        </is>
      </c>
      <c r="B8194" s="1" t="n">
        <v>45158.5971412037</v>
      </c>
      <c r="C8194" s="1" t="n">
        <v>46011</v>
      </c>
      <c r="D8194" t="inlineStr">
        <is>
          <t>VÄSTRA GÖTALANDS LÄN</t>
        </is>
      </c>
      <c r="E8194" t="inlineStr">
        <is>
          <t>ULRICEHAMN</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5632-2025</t>
        </is>
      </c>
      <c r="B8195" s="1" t="n">
        <v>45693.6652662037</v>
      </c>
      <c r="C8195" s="1" t="n">
        <v>46011</v>
      </c>
      <c r="D8195" t="inlineStr">
        <is>
          <t>VÄSTRA GÖTALANDS LÄN</t>
        </is>
      </c>
      <c r="E8195" t="inlineStr">
        <is>
          <t>UDDEVALLA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37639-2025</t>
        </is>
      </c>
      <c r="B8196" s="1" t="n">
        <v>45880.47399305556</v>
      </c>
      <c r="C8196" s="1" t="n">
        <v>46011</v>
      </c>
      <c r="D8196" t="inlineStr">
        <is>
          <t>VÄSTRA GÖTALANDS LÄN</t>
        </is>
      </c>
      <c r="E8196" t="inlineStr">
        <is>
          <t>TANUM</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37641-2025</t>
        </is>
      </c>
      <c r="B8197" s="1" t="n">
        <v>45880.47754629629</v>
      </c>
      <c r="C8197" s="1" t="n">
        <v>46011</v>
      </c>
      <c r="D8197" t="inlineStr">
        <is>
          <t>VÄSTRA GÖTALANDS LÄN</t>
        </is>
      </c>
      <c r="E8197" t="inlineStr">
        <is>
          <t>TANUM</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25109-2022</t>
        </is>
      </c>
      <c r="B8198" s="1" t="n">
        <v>44729.45575231482</v>
      </c>
      <c r="C8198" s="1" t="n">
        <v>46011</v>
      </c>
      <c r="D8198" t="inlineStr">
        <is>
          <t>VÄSTRA GÖTALANDS LÄN</t>
        </is>
      </c>
      <c r="E8198" t="inlineStr">
        <is>
          <t>MELLERUD</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48766-2025</t>
        </is>
      </c>
      <c r="B8199" s="1" t="n">
        <v>45936.86329861111</v>
      </c>
      <c r="C8199" s="1" t="n">
        <v>46011</v>
      </c>
      <c r="D8199" t="inlineStr">
        <is>
          <t>VÄSTRA GÖTALANDS LÄN</t>
        </is>
      </c>
      <c r="E8199" t="inlineStr">
        <is>
          <t>SKÖVDE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19709-2022</t>
        </is>
      </c>
      <c r="B8200" s="1" t="n">
        <v>44694.54123842593</v>
      </c>
      <c r="C8200" s="1" t="n">
        <v>46011</v>
      </c>
      <c r="D8200" t="inlineStr">
        <is>
          <t>VÄSTRA GÖTALANDS LÄN</t>
        </is>
      </c>
      <c r="E8200" t="inlineStr">
        <is>
          <t>MARK</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48792-2025</t>
        </is>
      </c>
      <c r="B8201" s="1" t="n">
        <v>45937.32658564814</v>
      </c>
      <c r="C8201" s="1" t="n">
        <v>46011</v>
      </c>
      <c r="D8201" t="inlineStr">
        <is>
          <t>VÄSTRA GÖTALANDS LÄN</t>
        </is>
      </c>
      <c r="E8201" t="inlineStr">
        <is>
          <t>TRANEMO</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48799-2025</t>
        </is>
      </c>
      <c r="B8202" s="1" t="n">
        <v>45937.34498842592</v>
      </c>
      <c r="C8202" s="1" t="n">
        <v>46011</v>
      </c>
      <c r="D8202" t="inlineStr">
        <is>
          <t>VÄSTRA GÖTALANDS LÄN</t>
        </is>
      </c>
      <c r="E8202" t="inlineStr">
        <is>
          <t>TANUM</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633-2025</t>
        </is>
      </c>
      <c r="B8203" s="1" t="n">
        <v>45664.63055555556</v>
      </c>
      <c r="C8203" s="1" t="n">
        <v>46011</v>
      </c>
      <c r="D8203" t="inlineStr">
        <is>
          <t>VÄSTRA GÖTALANDS LÄN</t>
        </is>
      </c>
      <c r="E8203" t="inlineStr">
        <is>
          <t>MARIESTAD</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49072-2025</t>
        </is>
      </c>
      <c r="B8204" s="1" t="n">
        <v>45937.65501157408</v>
      </c>
      <c r="C8204" s="1" t="n">
        <v>46011</v>
      </c>
      <c r="D8204" t="inlineStr">
        <is>
          <t>VÄSTRA GÖTALANDS LÄN</t>
        </is>
      </c>
      <c r="E8204" t="inlineStr">
        <is>
          <t>ORUST</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661-2025</t>
        </is>
      </c>
      <c r="B8205" s="1" t="n">
        <v>45664.68572916667</v>
      </c>
      <c r="C8205" s="1" t="n">
        <v>46011</v>
      </c>
      <c r="D8205" t="inlineStr">
        <is>
          <t>VÄSTRA GÖTALANDS LÄN</t>
        </is>
      </c>
      <c r="E8205" t="inlineStr">
        <is>
          <t>KUNGÄLV</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47835-2023</t>
        </is>
      </c>
      <c r="B8206" s="1" t="n">
        <v>45204.37236111111</v>
      </c>
      <c r="C8206" s="1" t="n">
        <v>46011</v>
      </c>
      <c r="D8206" t="inlineStr">
        <is>
          <t>VÄSTRA GÖTALANDS LÄN</t>
        </is>
      </c>
      <c r="E8206" t="inlineStr">
        <is>
          <t>BORÅS</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57080-2025</t>
        </is>
      </c>
      <c r="B8207" s="1" t="n">
        <v>45979.40725694445</v>
      </c>
      <c r="C8207" s="1" t="n">
        <v>46011</v>
      </c>
      <c r="D8207" t="inlineStr">
        <is>
          <t>VÄSTRA GÖTALANDS LÄN</t>
        </is>
      </c>
      <c r="E8207" t="inlineStr">
        <is>
          <t>ULRICEHAMN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37781-2025</t>
        </is>
      </c>
      <c r="B8208" s="1" t="n">
        <v>45880</v>
      </c>
      <c r="C8208" s="1" t="n">
        <v>46011</v>
      </c>
      <c r="D8208" t="inlineStr">
        <is>
          <t>VÄSTRA GÖTALANDS LÄN</t>
        </is>
      </c>
      <c r="E8208" t="inlineStr">
        <is>
          <t>TIDAHOLM</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49188-2025</t>
        </is>
      </c>
      <c r="B8209" s="1" t="n">
        <v>45938.40711805555</v>
      </c>
      <c r="C8209" s="1" t="n">
        <v>46011</v>
      </c>
      <c r="D8209" t="inlineStr">
        <is>
          <t>VÄSTRA GÖTALANDS LÄN</t>
        </is>
      </c>
      <c r="E8209" t="inlineStr">
        <is>
          <t>LILLA EDET</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28667-2022</t>
        </is>
      </c>
      <c r="B8210" s="1" t="n">
        <v>44748</v>
      </c>
      <c r="C8210" s="1" t="n">
        <v>46011</v>
      </c>
      <c r="D8210" t="inlineStr">
        <is>
          <t>VÄSTRA GÖTALANDS LÄN</t>
        </is>
      </c>
      <c r="E8210" t="inlineStr">
        <is>
          <t>MUNKEDAL</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57127-2025</t>
        </is>
      </c>
      <c r="B8211" s="1" t="n">
        <v>45979.47140046296</v>
      </c>
      <c r="C8211" s="1" t="n">
        <v>46011</v>
      </c>
      <c r="D8211" t="inlineStr">
        <is>
          <t>VÄSTRA GÖTALANDS LÄN</t>
        </is>
      </c>
      <c r="E8211" t="inlineStr">
        <is>
          <t>BORÅS</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12589-2023</t>
        </is>
      </c>
      <c r="B8212" s="1" t="n">
        <v>45000</v>
      </c>
      <c r="C8212" s="1" t="n">
        <v>46011</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10916-2025</t>
        </is>
      </c>
      <c r="B8213" s="1" t="n">
        <v>45722</v>
      </c>
      <c r="C8213" s="1" t="n">
        <v>46011</v>
      </c>
      <c r="D8213" t="inlineStr">
        <is>
          <t>VÄSTRA GÖTALANDS LÄN</t>
        </is>
      </c>
      <c r="E8213" t="inlineStr">
        <is>
          <t>ALINGSÅS</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15018-2023</t>
        </is>
      </c>
      <c r="B8214" s="1" t="n">
        <v>45015</v>
      </c>
      <c r="C8214" s="1" t="n">
        <v>46011</v>
      </c>
      <c r="D8214" t="inlineStr">
        <is>
          <t>VÄSTRA GÖTALANDS LÄN</t>
        </is>
      </c>
      <c r="E8214" t="inlineStr">
        <is>
          <t>ALINGSÅS</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48909-2025</t>
        </is>
      </c>
      <c r="B8215" s="1" t="n">
        <v>45937</v>
      </c>
      <c r="C8215" s="1" t="n">
        <v>46011</v>
      </c>
      <c r="D8215" t="inlineStr">
        <is>
          <t>VÄSTRA GÖTALANDS LÄN</t>
        </is>
      </c>
      <c r="E8215" t="inlineStr">
        <is>
          <t>MARK</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49233-2025</t>
        </is>
      </c>
      <c r="B8216" s="1" t="n">
        <v>45938.47579861111</v>
      </c>
      <c r="C8216" s="1" t="n">
        <v>46011</v>
      </c>
      <c r="D8216" t="inlineStr">
        <is>
          <t>VÄSTRA GÖTALANDS LÄN</t>
        </is>
      </c>
      <c r="E8216" t="inlineStr">
        <is>
          <t>TRANEMO</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58649-2024</t>
        </is>
      </c>
      <c r="B8217" s="1" t="n">
        <v>45635.59540509259</v>
      </c>
      <c r="C8217" s="1" t="n">
        <v>46011</v>
      </c>
      <c r="D8217" t="inlineStr">
        <is>
          <t>VÄSTRA GÖTALANDS LÄN</t>
        </is>
      </c>
      <c r="E8217" t="inlineStr">
        <is>
          <t>TANUM</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49262-2025</t>
        </is>
      </c>
      <c r="B8218" s="1" t="n">
        <v>45938.49927083333</v>
      </c>
      <c r="C8218" s="1" t="n">
        <v>46011</v>
      </c>
      <c r="D8218" t="inlineStr">
        <is>
          <t>VÄSTRA GÖTALANDS LÄN</t>
        </is>
      </c>
      <c r="E8218" t="inlineStr">
        <is>
          <t>BORÅS</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49088-2025</t>
        </is>
      </c>
      <c r="B8219" s="1" t="n">
        <v>45937.67055555555</v>
      </c>
      <c r="C8219" s="1" t="n">
        <v>46011</v>
      </c>
      <c r="D8219" t="inlineStr">
        <is>
          <t>VÄSTRA GÖTALANDS LÄN</t>
        </is>
      </c>
      <c r="E8219" t="inlineStr">
        <is>
          <t>TÖREBODA</t>
        </is>
      </c>
      <c r="F8219" t="inlineStr">
        <is>
          <t>Sveaskog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49350-2025</t>
        </is>
      </c>
      <c r="B8220" s="1" t="n">
        <v>45938.61125</v>
      </c>
      <c r="C8220" s="1" t="n">
        <v>46011</v>
      </c>
      <c r="D8220" t="inlineStr">
        <is>
          <t>VÄSTRA GÖTALANDS LÄN</t>
        </is>
      </c>
      <c r="E8220" t="inlineStr">
        <is>
          <t>MUNKEDAL</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48788-2025</t>
        </is>
      </c>
      <c r="B8221" s="1" t="n">
        <v>45937.32173611111</v>
      </c>
      <c r="C8221" s="1" t="n">
        <v>46011</v>
      </c>
      <c r="D8221" t="inlineStr">
        <is>
          <t>VÄSTRA GÖTALANDS LÄN</t>
        </is>
      </c>
      <c r="E8221" t="inlineStr">
        <is>
          <t>TROLLHÄTTAN</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37646-2025</t>
        </is>
      </c>
      <c r="B8222" s="1" t="n">
        <v>45880</v>
      </c>
      <c r="C8222" s="1" t="n">
        <v>46011</v>
      </c>
      <c r="D8222" t="inlineStr">
        <is>
          <t>VÄSTRA GÖTALANDS LÄN</t>
        </is>
      </c>
      <c r="E8222" t="inlineStr">
        <is>
          <t>BENGTSFORS</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49178-2025</t>
        </is>
      </c>
      <c r="B8223" s="1" t="n">
        <v>45938.3840625</v>
      </c>
      <c r="C8223" s="1" t="n">
        <v>46011</v>
      </c>
      <c r="D8223" t="inlineStr">
        <is>
          <t>VÄSTRA GÖTALANDS LÄN</t>
        </is>
      </c>
      <c r="E8223" t="inlineStr">
        <is>
          <t>MARIESTAD</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57009-2025</t>
        </is>
      </c>
      <c r="B8224" s="1" t="n">
        <v>45978.77400462963</v>
      </c>
      <c r="C8224" s="1" t="n">
        <v>46011</v>
      </c>
      <c r="D8224" t="inlineStr">
        <is>
          <t>VÄSTRA GÖTALANDS LÄN</t>
        </is>
      </c>
      <c r="E8224" t="inlineStr">
        <is>
          <t>TRANEMO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21290-2023</t>
        </is>
      </c>
      <c r="B8225" s="1" t="n">
        <v>45062.64560185185</v>
      </c>
      <c r="C8225" s="1" t="n">
        <v>46011</v>
      </c>
      <c r="D8225" t="inlineStr">
        <is>
          <t>VÄSTRA GÖTALANDS LÄN</t>
        </is>
      </c>
      <c r="E8225" t="inlineStr">
        <is>
          <t>DALS-ED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16989-2023</t>
        </is>
      </c>
      <c r="B8226" s="1" t="n">
        <v>45033</v>
      </c>
      <c r="C8226" s="1" t="n">
        <v>46011</v>
      </c>
      <c r="D8226" t="inlineStr">
        <is>
          <t>VÄSTRA GÖTALANDS LÄN</t>
        </is>
      </c>
      <c r="E8226" t="inlineStr">
        <is>
          <t>STRÖMSTAD</t>
        </is>
      </c>
      <c r="F8226" t="inlineStr">
        <is>
          <t>Kommuner</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57454-2025</t>
        </is>
      </c>
      <c r="B8227" s="1" t="n">
        <v>45980.5125462963</v>
      </c>
      <c r="C8227" s="1" t="n">
        <v>46011</v>
      </c>
      <c r="D8227" t="inlineStr">
        <is>
          <t>VÄSTRA GÖTALANDS LÄN</t>
        </is>
      </c>
      <c r="E8227" t="inlineStr">
        <is>
          <t>MUNKEDAL</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10826-2025</t>
        </is>
      </c>
      <c r="B8228" s="1" t="n">
        <v>45722.55954861111</v>
      </c>
      <c r="C8228" s="1" t="n">
        <v>46011</v>
      </c>
      <c r="D8228" t="inlineStr">
        <is>
          <t>VÄSTRA GÖTALANDS LÄN</t>
        </is>
      </c>
      <c r="E8228" t="inlineStr">
        <is>
          <t>MARIESTAD</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10839-2025</t>
        </is>
      </c>
      <c r="B8229" s="1" t="n">
        <v>45722.57290509259</v>
      </c>
      <c r="C8229" s="1" t="n">
        <v>46011</v>
      </c>
      <c r="D8229" t="inlineStr">
        <is>
          <t>VÄSTRA GÖTALANDS LÄN</t>
        </is>
      </c>
      <c r="E8229" t="inlineStr">
        <is>
          <t>MARIESTAD</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142-2025</t>
        </is>
      </c>
      <c r="B8230" s="1" t="n">
        <v>45659.58482638889</v>
      </c>
      <c r="C8230" s="1" t="n">
        <v>46011</v>
      </c>
      <c r="D8230" t="inlineStr">
        <is>
          <t>VÄSTRA GÖTALANDS LÄN</t>
        </is>
      </c>
      <c r="E8230" t="inlineStr">
        <is>
          <t>BENGTSFORS</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57262-2025</t>
        </is>
      </c>
      <c r="B8231" s="1" t="n">
        <v>45979.65866898148</v>
      </c>
      <c r="C8231" s="1" t="n">
        <v>46011</v>
      </c>
      <c r="D8231" t="inlineStr">
        <is>
          <t>VÄSTRA GÖTALANDS LÄN</t>
        </is>
      </c>
      <c r="E8231" t="inlineStr">
        <is>
          <t>TROLLHÄTTAN</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57325-2025</t>
        </is>
      </c>
      <c r="B8232" s="1" t="n">
        <v>45980.32965277778</v>
      </c>
      <c r="C8232" s="1" t="n">
        <v>46011</v>
      </c>
      <c r="D8232" t="inlineStr">
        <is>
          <t>VÄSTRA GÖTALANDS LÄN</t>
        </is>
      </c>
      <c r="E8232" t="inlineStr">
        <is>
          <t>HERRLJUNGA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11587-2025</t>
        </is>
      </c>
      <c r="B8233" s="1" t="n">
        <v>45727.40679398148</v>
      </c>
      <c r="C8233" s="1" t="n">
        <v>46011</v>
      </c>
      <c r="D8233" t="inlineStr">
        <is>
          <t>VÄSTRA GÖTALANDS LÄN</t>
        </is>
      </c>
      <c r="E8233" t="inlineStr">
        <is>
          <t>MARIESTAD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25938-2021</t>
        </is>
      </c>
      <c r="B8234" s="1" t="n">
        <v>44344</v>
      </c>
      <c r="C8234" s="1" t="n">
        <v>46011</v>
      </c>
      <c r="D8234" t="inlineStr">
        <is>
          <t>VÄSTRA GÖTALANDS LÄN</t>
        </is>
      </c>
      <c r="E8234" t="inlineStr">
        <is>
          <t>BOLLEBYGD</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13353-2023</t>
        </is>
      </c>
      <c r="B8235" s="1" t="n">
        <v>45005</v>
      </c>
      <c r="C8235" s="1" t="n">
        <v>46011</v>
      </c>
      <c r="D8235" t="inlineStr">
        <is>
          <t>VÄSTRA GÖTALANDS LÄN</t>
        </is>
      </c>
      <c r="E8235" t="inlineStr">
        <is>
          <t>TRANEMO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13386-2023</t>
        </is>
      </c>
      <c r="B8236" s="1" t="n">
        <v>45005.5162037037</v>
      </c>
      <c r="C8236" s="1" t="n">
        <v>46011</v>
      </c>
      <c r="D8236" t="inlineStr">
        <is>
          <t>VÄSTRA GÖTALANDS LÄN</t>
        </is>
      </c>
      <c r="E8236" t="inlineStr">
        <is>
          <t>TANUM</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49692-2025</t>
        </is>
      </c>
      <c r="B8237" s="1" t="n">
        <v>45939.66929398148</v>
      </c>
      <c r="C8237" s="1" t="n">
        <v>46011</v>
      </c>
      <c r="D8237" t="inlineStr">
        <is>
          <t>VÄSTRA GÖTALANDS LÄN</t>
        </is>
      </c>
      <c r="E8237" t="inlineStr">
        <is>
          <t>TRANEMO</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49711-2025</t>
        </is>
      </c>
      <c r="B8238" s="1" t="n">
        <v>45939.69818287037</v>
      </c>
      <c r="C8238" s="1" t="n">
        <v>46011</v>
      </c>
      <c r="D8238" t="inlineStr">
        <is>
          <t>VÄSTRA GÖTALANDS LÄN</t>
        </is>
      </c>
      <c r="E8238" t="inlineStr">
        <is>
          <t>TRANEMO</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49718-2025</t>
        </is>
      </c>
      <c r="B8239" s="1" t="n">
        <v>45939.76440972222</v>
      </c>
      <c r="C8239" s="1" t="n">
        <v>46011</v>
      </c>
      <c r="D8239" t="inlineStr">
        <is>
          <t>VÄSTRA GÖTALANDS LÄN</t>
        </is>
      </c>
      <c r="E8239" t="inlineStr">
        <is>
          <t>MELLERUD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57750-2025</t>
        </is>
      </c>
      <c r="B8240" s="1" t="n">
        <v>45981.54017361111</v>
      </c>
      <c r="C8240" s="1" t="n">
        <v>46011</v>
      </c>
      <c r="D8240" t="inlineStr">
        <is>
          <t>VÄSTRA GÖTALANDS LÄN</t>
        </is>
      </c>
      <c r="E8240" t="inlineStr">
        <is>
          <t>UDDEVALLA</t>
        </is>
      </c>
      <c r="F8240" t="inlineStr">
        <is>
          <t>Kyrkan</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37790-2023</t>
        </is>
      </c>
      <c r="B8241" s="1" t="n">
        <v>45159.85258101852</v>
      </c>
      <c r="C8241" s="1" t="n">
        <v>46011</v>
      </c>
      <c r="D8241" t="inlineStr">
        <is>
          <t>VÄSTRA GÖTALANDS LÄN</t>
        </is>
      </c>
      <c r="E8241" t="inlineStr">
        <is>
          <t>TANUM</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49708-2025</t>
        </is>
      </c>
      <c r="B8242" s="1" t="n">
        <v>45939.68114583333</v>
      </c>
      <c r="C8242" s="1" t="n">
        <v>46011</v>
      </c>
      <c r="D8242" t="inlineStr">
        <is>
          <t>VÄSTRA GÖTALANDS LÄN</t>
        </is>
      </c>
      <c r="E8242" t="inlineStr">
        <is>
          <t>TRANEMO</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27458-2021</t>
        </is>
      </c>
      <c r="B8243" s="1" t="n">
        <v>44351</v>
      </c>
      <c r="C8243" s="1" t="n">
        <v>46011</v>
      </c>
      <c r="D8243" t="inlineStr">
        <is>
          <t>VÄSTRA GÖTALANDS LÄN</t>
        </is>
      </c>
      <c r="E8243" t="inlineStr">
        <is>
          <t>BORÅS</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6320-2025</t>
        </is>
      </c>
      <c r="B8244" s="1" t="n">
        <v>45698.81115740741</v>
      </c>
      <c r="C8244" s="1" t="n">
        <v>46011</v>
      </c>
      <c r="D8244" t="inlineStr">
        <is>
          <t>VÄSTRA GÖTALANDS LÄN</t>
        </is>
      </c>
      <c r="E8244" t="inlineStr">
        <is>
          <t>ULRICEHAMN</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6337-2025</t>
        </is>
      </c>
      <c r="B8245" s="1" t="n">
        <v>45698.99592592593</v>
      </c>
      <c r="C8245" s="1" t="n">
        <v>46011</v>
      </c>
      <c r="D8245" t="inlineStr">
        <is>
          <t>VÄSTRA GÖTALANDS LÄN</t>
        </is>
      </c>
      <c r="E8245" t="inlineStr">
        <is>
          <t>FALKÖPING</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6366-2025</t>
        </is>
      </c>
      <c r="B8246" s="1" t="n">
        <v>45699.38159722222</v>
      </c>
      <c r="C8246" s="1" t="n">
        <v>46011</v>
      </c>
      <c r="D8246" t="inlineStr">
        <is>
          <t>VÄSTRA GÖTALANDS LÄN</t>
        </is>
      </c>
      <c r="E8246" t="inlineStr">
        <is>
          <t>SKARA</t>
        </is>
      </c>
      <c r="F8246" t="inlineStr">
        <is>
          <t>Sveaskog</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38119-2025</t>
        </is>
      </c>
      <c r="B8247" s="1" t="n">
        <v>45882</v>
      </c>
      <c r="C8247" s="1" t="n">
        <v>46011</v>
      </c>
      <c r="D8247" t="inlineStr">
        <is>
          <t>VÄSTRA GÖTALANDS LÄN</t>
        </is>
      </c>
      <c r="E8247" t="inlineStr">
        <is>
          <t>TIDAHOLM</t>
        </is>
      </c>
      <c r="F8247" t="inlineStr">
        <is>
          <t>Allmännings- och besparingsskogar</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37648-2025</t>
        </is>
      </c>
      <c r="B8248" s="1" t="n">
        <v>45880</v>
      </c>
      <c r="C8248" s="1" t="n">
        <v>46011</v>
      </c>
      <c r="D8248" t="inlineStr">
        <is>
          <t>VÄSTRA GÖTALANDS LÄN</t>
        </is>
      </c>
      <c r="E8248" t="inlineStr">
        <is>
          <t>BENGTSFORS</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38040-2025</t>
        </is>
      </c>
      <c r="B8249" s="1" t="n">
        <v>45882.38126157408</v>
      </c>
      <c r="C8249" s="1" t="n">
        <v>46011</v>
      </c>
      <c r="D8249" t="inlineStr">
        <is>
          <t>VÄSTRA GÖTALANDS LÄN</t>
        </is>
      </c>
      <c r="E8249" t="inlineStr">
        <is>
          <t>MELLERUD</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38207-2025</t>
        </is>
      </c>
      <c r="B8250" s="1" t="n">
        <v>45882.70383101852</v>
      </c>
      <c r="C8250" s="1" t="n">
        <v>46011</v>
      </c>
      <c r="D8250" t="inlineStr">
        <is>
          <t>VÄSTRA GÖTALANDS LÄN</t>
        </is>
      </c>
      <c r="E8250" t="inlineStr">
        <is>
          <t>TRANEMO</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58154-2025</t>
        </is>
      </c>
      <c r="B8251" s="1" t="n">
        <v>45982.66193287037</v>
      </c>
      <c r="C8251" s="1" t="n">
        <v>46011</v>
      </c>
      <c r="D8251" t="inlineStr">
        <is>
          <t>VÄSTRA GÖTALANDS LÄN</t>
        </is>
      </c>
      <c r="E8251" t="inlineStr">
        <is>
          <t>MARIESTAD</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58157-2025</t>
        </is>
      </c>
      <c r="B8252" s="1" t="n">
        <v>45982.68130787037</v>
      </c>
      <c r="C8252" s="1" t="n">
        <v>46011</v>
      </c>
      <c r="D8252" t="inlineStr">
        <is>
          <t>VÄSTRA GÖTALANDS LÄN</t>
        </is>
      </c>
      <c r="E8252" t="inlineStr">
        <is>
          <t>MUNKEDAL</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38130-2025</t>
        </is>
      </c>
      <c r="B8253" s="1" t="n">
        <v>45882.56133101852</v>
      </c>
      <c r="C8253" s="1" t="n">
        <v>46011</v>
      </c>
      <c r="D8253" t="inlineStr">
        <is>
          <t>VÄSTRA GÖTALANDS LÄN</t>
        </is>
      </c>
      <c r="E8253" t="inlineStr">
        <is>
          <t>UDDEVALLA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6442-2025</t>
        </is>
      </c>
      <c r="B8254" s="1" t="n">
        <v>45699</v>
      </c>
      <c r="C8254" s="1" t="n">
        <v>46011</v>
      </c>
      <c r="D8254" t="inlineStr">
        <is>
          <t>VÄSTRA GÖTALANDS LÄN</t>
        </is>
      </c>
      <c r="E8254" t="inlineStr">
        <is>
          <t>TÖREBODA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6463-2025</t>
        </is>
      </c>
      <c r="B8255" s="1" t="n">
        <v>45699.56878472222</v>
      </c>
      <c r="C8255" s="1" t="n">
        <v>46011</v>
      </c>
      <c r="D8255" t="inlineStr">
        <is>
          <t>VÄSTRA GÖTALANDS LÄN</t>
        </is>
      </c>
      <c r="E8255" t="inlineStr">
        <is>
          <t>KARLSBORG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56118-2025</t>
        </is>
      </c>
      <c r="B8256" s="1" t="n">
        <v>45973.81604166667</v>
      </c>
      <c r="C8256" s="1" t="n">
        <v>46011</v>
      </c>
      <c r="D8256" t="inlineStr">
        <is>
          <t>VÄSTRA GÖTALANDS LÄN</t>
        </is>
      </c>
      <c r="E8256" t="inlineStr">
        <is>
          <t>ALINGSÅS</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49889-2025</t>
        </is>
      </c>
      <c r="B8257" s="1" t="n">
        <v>45940.57497685185</v>
      </c>
      <c r="C8257" s="1" t="n">
        <v>46011</v>
      </c>
      <c r="D8257" t="inlineStr">
        <is>
          <t>VÄSTRA GÖTALANDS LÄN</t>
        </is>
      </c>
      <c r="E8257" t="inlineStr">
        <is>
          <t>BENGTSFORS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10901-2025</t>
        </is>
      </c>
      <c r="B8258" s="1" t="n">
        <v>45722</v>
      </c>
      <c r="C8258" s="1" t="n">
        <v>46011</v>
      </c>
      <c r="D8258" t="inlineStr">
        <is>
          <t>VÄSTRA GÖTALANDS LÄN</t>
        </is>
      </c>
      <c r="E8258" t="inlineStr">
        <is>
          <t>TANUM</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10906-2025</t>
        </is>
      </c>
      <c r="B8259" s="1" t="n">
        <v>45722.7066087963</v>
      </c>
      <c r="C8259" s="1" t="n">
        <v>46011</v>
      </c>
      <c r="D8259" t="inlineStr">
        <is>
          <t>VÄSTRA GÖTALANDS LÄN</t>
        </is>
      </c>
      <c r="E8259" t="inlineStr">
        <is>
          <t>DALS-ED</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57672-2025</t>
        </is>
      </c>
      <c r="B8260" s="1" t="n">
        <v>45981.42877314815</v>
      </c>
      <c r="C8260" s="1" t="n">
        <v>46011</v>
      </c>
      <c r="D8260" t="inlineStr">
        <is>
          <t>VÄSTRA GÖTALANDS LÄN</t>
        </is>
      </c>
      <c r="E8260" t="inlineStr">
        <is>
          <t>FALKÖPING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51666-2024</t>
        </is>
      </c>
      <c r="B8261" s="1" t="n">
        <v>45606.8416087963</v>
      </c>
      <c r="C8261" s="1" t="n">
        <v>46011</v>
      </c>
      <c r="D8261" t="inlineStr">
        <is>
          <t>VÄSTRA GÖTALANDS LÄN</t>
        </is>
      </c>
      <c r="E8261" t="inlineStr">
        <is>
          <t>ULRICEHAMN</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36096-2021</t>
        </is>
      </c>
      <c r="B8262" s="1" t="n">
        <v>44389</v>
      </c>
      <c r="C8262" s="1" t="n">
        <v>46011</v>
      </c>
      <c r="D8262" t="inlineStr">
        <is>
          <t>VÄSTRA GÖTALANDS LÄN</t>
        </is>
      </c>
      <c r="E8262" t="inlineStr">
        <is>
          <t>MELLERUD</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7805-2025</t>
        </is>
      </c>
      <c r="B8263" s="1" t="n">
        <v>45706.60927083333</v>
      </c>
      <c r="C8263" s="1" t="n">
        <v>46011</v>
      </c>
      <c r="D8263" t="inlineStr">
        <is>
          <t>VÄSTRA GÖTALANDS LÄN</t>
        </is>
      </c>
      <c r="E8263" t="inlineStr">
        <is>
          <t>ALINGSÅS</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49900-2025</t>
        </is>
      </c>
      <c r="B8264" s="1" t="n">
        <v>45940.59071759259</v>
      </c>
      <c r="C8264" s="1" t="n">
        <v>46011</v>
      </c>
      <c r="D8264" t="inlineStr">
        <is>
          <t>VÄSTRA GÖTALANDS LÄN</t>
        </is>
      </c>
      <c r="E8264" t="inlineStr">
        <is>
          <t>BENGTSFORS</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49903-2025</t>
        </is>
      </c>
      <c r="B8265" s="1" t="n">
        <v>45940.59493055556</v>
      </c>
      <c r="C8265" s="1" t="n">
        <v>46011</v>
      </c>
      <c r="D8265" t="inlineStr">
        <is>
          <t>VÄSTRA GÖTALANDS LÄN</t>
        </is>
      </c>
      <c r="E8265" t="inlineStr">
        <is>
          <t>DALS-ED</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49906-2025</t>
        </is>
      </c>
      <c r="B8266" s="1" t="n">
        <v>45940.59814814815</v>
      </c>
      <c r="C8266" s="1" t="n">
        <v>46011</v>
      </c>
      <c r="D8266" t="inlineStr">
        <is>
          <t>VÄSTRA GÖTALANDS LÄN</t>
        </is>
      </c>
      <c r="E8266" t="inlineStr">
        <is>
          <t>LIDKÖPING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38036-2025</t>
        </is>
      </c>
      <c r="B8267" s="1" t="n">
        <v>45881</v>
      </c>
      <c r="C8267" s="1" t="n">
        <v>46011</v>
      </c>
      <c r="D8267" t="inlineStr">
        <is>
          <t>VÄSTRA GÖTALANDS LÄN</t>
        </is>
      </c>
      <c r="E8267" t="inlineStr">
        <is>
          <t>LYSEKIL</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48965-2025</t>
        </is>
      </c>
      <c r="B8268" s="1" t="n">
        <v>45937</v>
      </c>
      <c r="C8268" s="1" t="n">
        <v>46011</v>
      </c>
      <c r="D8268" t="inlineStr">
        <is>
          <t>VÄSTRA GÖTALANDS LÄN</t>
        </is>
      </c>
      <c r="E8268" t="inlineStr">
        <is>
          <t>BENGTSFORS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49721-2025</t>
        </is>
      </c>
      <c r="B8269" s="1" t="n">
        <v>45939.81811342593</v>
      </c>
      <c r="C8269" s="1" t="n">
        <v>46011</v>
      </c>
      <c r="D8269" t="inlineStr">
        <is>
          <t>VÄSTRA GÖTALANDS LÄN</t>
        </is>
      </c>
      <c r="E8269" t="inlineStr">
        <is>
          <t>UDDEVALLA</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38044-2025</t>
        </is>
      </c>
      <c r="B8270" s="1" t="n">
        <v>45882</v>
      </c>
      <c r="C8270" s="1" t="n">
        <v>46011</v>
      </c>
      <c r="D8270" t="inlineStr">
        <is>
          <t>VÄSTRA GÖTALANDS LÄN</t>
        </is>
      </c>
      <c r="E8270" t="inlineStr">
        <is>
          <t>DALS-ED</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31710-2022</t>
        </is>
      </c>
      <c r="B8271" s="1" t="n">
        <v>44776</v>
      </c>
      <c r="C8271" s="1" t="n">
        <v>46011</v>
      </c>
      <c r="D8271" t="inlineStr">
        <is>
          <t>VÄSTRA GÖTALANDS LÄN</t>
        </is>
      </c>
      <c r="E8271" t="inlineStr">
        <is>
          <t>BENGTSFORS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32443-2023</t>
        </is>
      </c>
      <c r="B8272" s="1" t="n">
        <v>45120</v>
      </c>
      <c r="C8272" s="1" t="n">
        <v>46011</v>
      </c>
      <c r="D8272" t="inlineStr">
        <is>
          <t>VÄSTRA GÖTALANDS LÄN</t>
        </is>
      </c>
      <c r="E8272" t="inlineStr">
        <is>
          <t>BORÅS</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20464-2025</t>
        </is>
      </c>
      <c r="B8273" s="1" t="n">
        <v>45775</v>
      </c>
      <c r="C8273" s="1" t="n">
        <v>46011</v>
      </c>
      <c r="D8273" t="inlineStr">
        <is>
          <t>VÄSTRA GÖTALANDS LÄN</t>
        </is>
      </c>
      <c r="E8273" t="inlineStr">
        <is>
          <t>BORÅS</t>
        </is>
      </c>
      <c r="F8273" t="inlineStr">
        <is>
          <t>Kommuner</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49824-2025</t>
        </is>
      </c>
      <c r="B8274" s="1" t="n">
        <v>45940.44650462963</v>
      </c>
      <c r="C8274" s="1" t="n">
        <v>46011</v>
      </c>
      <c r="D8274" t="inlineStr">
        <is>
          <t>VÄSTRA GÖTALANDS LÄN</t>
        </is>
      </c>
      <c r="E8274" t="inlineStr">
        <is>
          <t>FALKÖPING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57280-2024</t>
        </is>
      </c>
      <c r="B8275" s="1" t="n">
        <v>45629</v>
      </c>
      <c r="C8275" s="1" t="n">
        <v>46011</v>
      </c>
      <c r="D8275" t="inlineStr">
        <is>
          <t>VÄSTRA GÖTALANDS LÄN</t>
        </is>
      </c>
      <c r="E8275" t="inlineStr">
        <is>
          <t>ESSUNGA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57287-2024</t>
        </is>
      </c>
      <c r="B8276" s="1" t="n">
        <v>45629.58438657408</v>
      </c>
      <c r="C8276" s="1" t="n">
        <v>46011</v>
      </c>
      <c r="D8276" t="inlineStr">
        <is>
          <t>VÄSTRA GÖTALANDS LÄN</t>
        </is>
      </c>
      <c r="E8276" t="inlineStr">
        <is>
          <t>GULLSPÅNG</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57692-2024</t>
        </is>
      </c>
      <c r="B8277" s="1" t="n">
        <v>45630</v>
      </c>
      <c r="C8277" s="1" t="n">
        <v>46011</v>
      </c>
      <c r="D8277" t="inlineStr">
        <is>
          <t>VÄSTRA GÖTALANDS LÄN</t>
        </is>
      </c>
      <c r="E8277" t="inlineStr">
        <is>
          <t>BENGTSFORS</t>
        </is>
      </c>
      <c r="F8277" t="inlineStr">
        <is>
          <t>Kyrkan</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49712-2025</t>
        </is>
      </c>
      <c r="B8278" s="1" t="n">
        <v>45939.70425925926</v>
      </c>
      <c r="C8278" s="1" t="n">
        <v>46011</v>
      </c>
      <c r="D8278" t="inlineStr">
        <is>
          <t>VÄSTRA GÖTALANDS LÄN</t>
        </is>
      </c>
      <c r="E8278" t="inlineStr">
        <is>
          <t>TRANEMO</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49713-2025</t>
        </is>
      </c>
      <c r="B8279" s="1" t="n">
        <v>45939.70865740741</v>
      </c>
      <c r="C8279" s="1" t="n">
        <v>46011</v>
      </c>
      <c r="D8279" t="inlineStr">
        <is>
          <t>VÄSTRA GÖTALANDS LÄN</t>
        </is>
      </c>
      <c r="E8279" t="inlineStr">
        <is>
          <t>TRANEMO</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37920-2025</t>
        </is>
      </c>
      <c r="B8280" s="1" t="n">
        <v>45881.57488425926</v>
      </c>
      <c r="C8280" s="1" t="n">
        <v>46011</v>
      </c>
      <c r="D8280" t="inlineStr">
        <is>
          <t>VÄSTRA GÖTALANDS LÄN</t>
        </is>
      </c>
      <c r="E8280" t="inlineStr">
        <is>
          <t>GULLSPÅNG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58139-2025</t>
        </is>
      </c>
      <c r="B8281" s="1" t="n">
        <v>45982.62479166667</v>
      </c>
      <c r="C8281" s="1" t="n">
        <v>46011</v>
      </c>
      <c r="D8281" t="inlineStr">
        <is>
          <t>VÄSTRA GÖTALANDS LÄN</t>
        </is>
      </c>
      <c r="E8281" t="inlineStr">
        <is>
          <t>BOLLEBYGD</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49863-2025</t>
        </is>
      </c>
      <c r="B8282" s="1" t="n">
        <v>45940.51858796296</v>
      </c>
      <c r="C8282" s="1" t="n">
        <v>46011</v>
      </c>
      <c r="D8282" t="inlineStr">
        <is>
          <t>VÄSTRA GÖTALANDS LÄN</t>
        </is>
      </c>
      <c r="E8282" t="inlineStr">
        <is>
          <t>VARA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30308-2022</t>
        </is>
      </c>
      <c r="B8283" s="1" t="n">
        <v>44760</v>
      </c>
      <c r="C8283" s="1" t="n">
        <v>46011</v>
      </c>
      <c r="D8283" t="inlineStr">
        <is>
          <t>VÄSTRA GÖTALANDS LÄN</t>
        </is>
      </c>
      <c r="E8283" t="inlineStr">
        <is>
          <t>MUNKEDAL</t>
        </is>
      </c>
      <c r="G8283" t="n">
        <v>8.300000000000001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32463-2022</t>
        </is>
      </c>
      <c r="B8284" s="1" t="n">
        <v>44782.57694444444</v>
      </c>
      <c r="C8284" s="1" t="n">
        <v>46011</v>
      </c>
      <c r="D8284" t="inlineStr">
        <is>
          <t>VÄSTRA GÖTALANDS LÄN</t>
        </is>
      </c>
      <c r="E8284" t="inlineStr">
        <is>
          <t>TÖREBODA</t>
        </is>
      </c>
      <c r="F8284" t="inlineStr">
        <is>
          <t>Övriga statliga verk och myndigheter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62525-2021</t>
        </is>
      </c>
      <c r="B8285" s="1" t="n">
        <v>44503</v>
      </c>
      <c r="C8285" s="1" t="n">
        <v>46011</v>
      </c>
      <c r="D8285" t="inlineStr">
        <is>
          <t>VÄSTRA GÖTALANDS LÄN</t>
        </is>
      </c>
      <c r="E8285" t="inlineStr">
        <is>
          <t>MUNKEDAL</t>
        </is>
      </c>
      <c r="G8285" t="n">
        <v>14.5</v>
      </c>
      <c r="H8285" t="n">
        <v>0</v>
      </c>
      <c r="I8285" t="n">
        <v>0</v>
      </c>
      <c r="J8285" t="n">
        <v>0</v>
      </c>
      <c r="K8285" t="n">
        <v>0</v>
      </c>
      <c r="L8285" t="n">
        <v>0</v>
      </c>
      <c r="M8285" t="n">
        <v>0</v>
      </c>
      <c r="N8285" t="n">
        <v>0</v>
      </c>
      <c r="O8285" t="n">
        <v>0</v>
      </c>
      <c r="P8285" t="n">
        <v>0</v>
      </c>
      <c r="Q8285" t="n">
        <v>0</v>
      </c>
      <c r="R8285" s="2" t="inlineStr"/>
    </row>
    <row r="8286" ht="15" customHeight="1">
      <c r="A8286" t="inlineStr">
        <is>
          <t>A 62527-2021</t>
        </is>
      </c>
      <c r="B8286" s="1" t="n">
        <v>44503</v>
      </c>
      <c r="C8286" s="1" t="n">
        <v>46011</v>
      </c>
      <c r="D8286" t="inlineStr">
        <is>
          <t>VÄSTRA GÖTALANDS LÄN</t>
        </is>
      </c>
      <c r="E8286" t="inlineStr">
        <is>
          <t>LIDKÖPING</t>
        </is>
      </c>
      <c r="G8286" t="n">
        <v>22.6</v>
      </c>
      <c r="H8286" t="n">
        <v>0</v>
      </c>
      <c r="I8286" t="n">
        <v>0</v>
      </c>
      <c r="J8286" t="n">
        <v>0</v>
      </c>
      <c r="K8286" t="n">
        <v>0</v>
      </c>
      <c r="L8286" t="n">
        <v>0</v>
      </c>
      <c r="M8286" t="n">
        <v>0</v>
      </c>
      <c r="N8286" t="n">
        <v>0</v>
      </c>
      <c r="O8286" t="n">
        <v>0</v>
      </c>
      <c r="P8286" t="n">
        <v>0</v>
      </c>
      <c r="Q8286" t="n">
        <v>0</v>
      </c>
      <c r="R8286" s="2" t="inlineStr"/>
    </row>
    <row r="8287" ht="15" customHeight="1">
      <c r="A8287" t="inlineStr">
        <is>
          <t>A 57900-2025</t>
        </is>
      </c>
      <c r="B8287" s="1" t="n">
        <v>45981.74020833334</v>
      </c>
      <c r="C8287" s="1" t="n">
        <v>46011</v>
      </c>
      <c r="D8287" t="inlineStr">
        <is>
          <t>VÄSTRA GÖTALANDS LÄN</t>
        </is>
      </c>
      <c r="E8287" t="inlineStr">
        <is>
          <t>MUNKEDAL</t>
        </is>
      </c>
      <c r="G8287" t="n">
        <v>10.9</v>
      </c>
      <c r="H8287" t="n">
        <v>0</v>
      </c>
      <c r="I8287" t="n">
        <v>0</v>
      </c>
      <c r="J8287" t="n">
        <v>0</v>
      </c>
      <c r="K8287" t="n">
        <v>0</v>
      </c>
      <c r="L8287" t="n">
        <v>0</v>
      </c>
      <c r="M8287" t="n">
        <v>0</v>
      </c>
      <c r="N8287" t="n">
        <v>0</v>
      </c>
      <c r="O8287" t="n">
        <v>0</v>
      </c>
      <c r="P8287" t="n">
        <v>0</v>
      </c>
      <c r="Q8287" t="n">
        <v>0</v>
      </c>
      <c r="R8287" s="2" t="inlineStr"/>
    </row>
    <row r="8288" ht="15" customHeight="1">
      <c r="A8288" t="inlineStr">
        <is>
          <t>A 34623-2025</t>
        </is>
      </c>
      <c r="B8288" s="1" t="n">
        <v>45847</v>
      </c>
      <c r="C8288" s="1" t="n">
        <v>46011</v>
      </c>
      <c r="D8288" t="inlineStr">
        <is>
          <t>VÄSTRA GÖTALANDS LÄN</t>
        </is>
      </c>
      <c r="E8288" t="inlineStr">
        <is>
          <t>LYSEKIL</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23334-2021</t>
        </is>
      </c>
      <c r="B8289" s="1" t="n">
        <v>44333.52131944444</v>
      </c>
      <c r="C8289" s="1" t="n">
        <v>46011</v>
      </c>
      <c r="D8289" t="inlineStr">
        <is>
          <t>VÄSTRA GÖTALANDS LÄN</t>
        </is>
      </c>
      <c r="E8289" t="inlineStr">
        <is>
          <t>ULRICEHAMN</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23349-2021</t>
        </is>
      </c>
      <c r="B8290" s="1" t="n">
        <v>44333</v>
      </c>
      <c r="C8290" s="1" t="n">
        <v>46011</v>
      </c>
      <c r="D8290" t="inlineStr">
        <is>
          <t>VÄSTRA GÖTALANDS LÄN</t>
        </is>
      </c>
      <c r="E8290" t="inlineStr">
        <is>
          <t>LIDKÖPING</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29809-2025</t>
        </is>
      </c>
      <c r="B8291" s="1" t="n">
        <v>45825.75673611111</v>
      </c>
      <c r="C8291" s="1" t="n">
        <v>46011</v>
      </c>
      <c r="D8291" t="inlineStr">
        <is>
          <t>VÄSTRA GÖTALANDS LÄN</t>
        </is>
      </c>
      <c r="E8291" t="inlineStr">
        <is>
          <t>GULLSPÅNG</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31981-2023</t>
        </is>
      </c>
      <c r="B8292" s="1" t="n">
        <v>45119.43261574074</v>
      </c>
      <c r="C8292" s="1" t="n">
        <v>46011</v>
      </c>
      <c r="D8292" t="inlineStr">
        <is>
          <t>VÄSTRA GÖTALANDS LÄN</t>
        </is>
      </c>
      <c r="E8292" t="inlineStr">
        <is>
          <t>GÖTENE</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38052-2025</t>
        </is>
      </c>
      <c r="B8293" s="1" t="n">
        <v>45882</v>
      </c>
      <c r="C8293" s="1" t="n">
        <v>46011</v>
      </c>
      <c r="D8293" t="inlineStr">
        <is>
          <t>VÄSTRA GÖTALANDS LÄN</t>
        </is>
      </c>
      <c r="E8293" t="inlineStr">
        <is>
          <t>HJO</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49429-2025</t>
        </is>
      </c>
      <c r="B8294" s="1" t="n">
        <v>45938.7903125</v>
      </c>
      <c r="C8294" s="1" t="n">
        <v>46011</v>
      </c>
      <c r="D8294" t="inlineStr">
        <is>
          <t>VÄSTRA GÖTALANDS LÄN</t>
        </is>
      </c>
      <c r="E8294" t="inlineStr">
        <is>
          <t>MELLERUD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32531-2023</t>
        </is>
      </c>
      <c r="B8295" s="1" t="n">
        <v>45121</v>
      </c>
      <c r="C8295" s="1" t="n">
        <v>46011</v>
      </c>
      <c r="D8295" t="inlineStr">
        <is>
          <t>VÄSTRA GÖTALANDS LÄN</t>
        </is>
      </c>
      <c r="E8295" t="inlineStr">
        <is>
          <t>UDDEVALLA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53759-2021</t>
        </is>
      </c>
      <c r="B8296" s="1" t="n">
        <v>44469</v>
      </c>
      <c r="C8296" s="1" t="n">
        <v>46011</v>
      </c>
      <c r="D8296" t="inlineStr">
        <is>
          <t>VÄSTRA GÖTALANDS LÄN</t>
        </is>
      </c>
      <c r="E8296" t="inlineStr">
        <is>
          <t>TANUM</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49431-2025</t>
        </is>
      </c>
      <c r="B8297" s="1" t="n">
        <v>45938.845</v>
      </c>
      <c r="C8297" s="1" t="n">
        <v>46011</v>
      </c>
      <c r="D8297" t="inlineStr">
        <is>
          <t>VÄSTRA GÖTALANDS LÄN</t>
        </is>
      </c>
      <c r="E8297" t="inlineStr">
        <is>
          <t>VÅRGÅRDA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38108-2025</t>
        </is>
      </c>
      <c r="B8298" s="1" t="n">
        <v>45882.5039699074</v>
      </c>
      <c r="C8298" s="1" t="n">
        <v>46011</v>
      </c>
      <c r="D8298" t="inlineStr">
        <is>
          <t>VÄSTRA GÖTALANDS LÄN</t>
        </is>
      </c>
      <c r="E8298" t="inlineStr">
        <is>
          <t>BOLLEBYGD</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21727-2022</t>
        </is>
      </c>
      <c r="B8299" s="1" t="n">
        <v>44708.3287037037</v>
      </c>
      <c r="C8299" s="1" t="n">
        <v>46011</v>
      </c>
      <c r="D8299" t="inlineStr">
        <is>
          <t>VÄSTRA GÖTALANDS LÄN</t>
        </is>
      </c>
      <c r="E8299" t="inlineStr">
        <is>
          <t>ALINGSÅS</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11850-2021</t>
        </is>
      </c>
      <c r="B8300" s="1" t="n">
        <v>44265</v>
      </c>
      <c r="C8300" s="1" t="n">
        <v>46011</v>
      </c>
      <c r="D8300" t="inlineStr">
        <is>
          <t>VÄSTRA GÖTALANDS LÄN</t>
        </is>
      </c>
      <c r="E8300" t="inlineStr">
        <is>
          <t>UDDEVALLA</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49449-2025</t>
        </is>
      </c>
      <c r="B8301" s="1" t="n">
        <v>45938.96420138889</v>
      </c>
      <c r="C8301" s="1" t="n">
        <v>46011</v>
      </c>
      <c r="D8301" t="inlineStr">
        <is>
          <t>VÄSTRA GÖTALANDS LÄN</t>
        </is>
      </c>
      <c r="E8301" t="inlineStr">
        <is>
          <t>MELLERUD</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58354-2024</t>
        </is>
      </c>
      <c r="B8302" s="1" t="n">
        <v>45632.6547337963</v>
      </c>
      <c r="C8302" s="1" t="n">
        <v>46011</v>
      </c>
      <c r="D8302" t="inlineStr">
        <is>
          <t>VÄSTRA GÖTALANDS LÄN</t>
        </is>
      </c>
      <c r="E8302" t="inlineStr">
        <is>
          <t>DALS-ED</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38133-2025</t>
        </is>
      </c>
      <c r="B8303" s="1" t="n">
        <v>45882.56203703704</v>
      </c>
      <c r="C8303" s="1" t="n">
        <v>46011</v>
      </c>
      <c r="D8303" t="inlineStr">
        <is>
          <t>VÄSTRA GÖTALANDS LÄN</t>
        </is>
      </c>
      <c r="E8303" t="inlineStr">
        <is>
          <t>UDDEVALLA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31746-2023</t>
        </is>
      </c>
      <c r="B8304" s="1" t="n">
        <v>45117</v>
      </c>
      <c r="C8304" s="1" t="n">
        <v>46011</v>
      </c>
      <c r="D8304" t="inlineStr">
        <is>
          <t>VÄSTRA GÖTALANDS LÄN</t>
        </is>
      </c>
      <c r="E8304" t="inlineStr">
        <is>
          <t>BOLLEBYGD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13003-2025</t>
        </is>
      </c>
      <c r="B8305" s="1" t="n">
        <v>45734</v>
      </c>
      <c r="C8305" s="1" t="n">
        <v>46011</v>
      </c>
      <c r="D8305" t="inlineStr">
        <is>
          <t>VÄSTRA GÖTALANDS LÄN</t>
        </is>
      </c>
      <c r="E8305" t="inlineStr">
        <is>
          <t>SVENLJUNGA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261-2025</t>
        </is>
      </c>
      <c r="B8306" s="1" t="n">
        <v>45660.4503587963</v>
      </c>
      <c r="C8306" s="1" t="n">
        <v>46011</v>
      </c>
      <c r="D8306" t="inlineStr">
        <is>
          <t>VÄSTRA GÖTALANDS LÄN</t>
        </is>
      </c>
      <c r="E8306" t="inlineStr">
        <is>
          <t>ALINGSÅS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270-2025</t>
        </is>
      </c>
      <c r="B8307" s="1" t="n">
        <v>45660.48087962963</v>
      </c>
      <c r="C8307" s="1" t="n">
        <v>46011</v>
      </c>
      <c r="D8307" t="inlineStr">
        <is>
          <t>VÄSTRA GÖTALANDS LÄN</t>
        </is>
      </c>
      <c r="E8307" t="inlineStr">
        <is>
          <t>SOTENÄS</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49531-2025</t>
        </is>
      </c>
      <c r="B8308" s="1" t="n">
        <v>45939.40844907407</v>
      </c>
      <c r="C8308" s="1" t="n">
        <v>46011</v>
      </c>
      <c r="D8308" t="inlineStr">
        <is>
          <t>VÄSTRA GÖTALANDS LÄN</t>
        </is>
      </c>
      <c r="E8308" t="inlineStr">
        <is>
          <t>ULRICEHAMN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200-2022</t>
        </is>
      </c>
      <c r="B8309" s="1" t="n">
        <v>44564</v>
      </c>
      <c r="C8309" s="1" t="n">
        <v>46011</v>
      </c>
      <c r="D8309" t="inlineStr">
        <is>
          <t>VÄSTRA GÖTALANDS LÄN</t>
        </is>
      </c>
      <c r="E8309" t="inlineStr">
        <is>
          <t>ALE</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37934-2025</t>
        </is>
      </c>
      <c r="B8310" s="1" t="n">
        <v>45881.59488425926</v>
      </c>
      <c r="C8310" s="1" t="n">
        <v>46011</v>
      </c>
      <c r="D8310" t="inlineStr">
        <is>
          <t>VÄSTRA GÖTALANDS LÄN</t>
        </is>
      </c>
      <c r="E8310" t="inlineStr">
        <is>
          <t>MUNKEDAL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49535-2025</t>
        </is>
      </c>
      <c r="B8311" s="1" t="n">
        <v>45939.41678240741</v>
      </c>
      <c r="C8311" s="1" t="n">
        <v>46011</v>
      </c>
      <c r="D8311" t="inlineStr">
        <is>
          <t>VÄSTRA GÖTALANDS LÄN</t>
        </is>
      </c>
      <c r="E8311" t="inlineStr">
        <is>
          <t>UDDEVALLA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6907-2023</t>
        </is>
      </c>
      <c r="B8312" s="1" t="n">
        <v>44967</v>
      </c>
      <c r="C8312" s="1" t="n">
        <v>46011</v>
      </c>
      <c r="D8312" t="inlineStr">
        <is>
          <t>VÄSTRA GÖTALANDS LÄN</t>
        </is>
      </c>
      <c r="E8312" t="inlineStr">
        <is>
          <t>LIDKÖPING</t>
        </is>
      </c>
      <c r="G8312" t="n">
        <v>8.5</v>
      </c>
      <c r="H8312" t="n">
        <v>0</v>
      </c>
      <c r="I8312" t="n">
        <v>0</v>
      </c>
      <c r="J8312" t="n">
        <v>0</v>
      </c>
      <c r="K8312" t="n">
        <v>0</v>
      </c>
      <c r="L8312" t="n">
        <v>0</v>
      </c>
      <c r="M8312" t="n">
        <v>0</v>
      </c>
      <c r="N8312" t="n">
        <v>0</v>
      </c>
      <c r="O8312" t="n">
        <v>0</v>
      </c>
      <c r="P8312" t="n">
        <v>0</v>
      </c>
      <c r="Q8312" t="n">
        <v>0</v>
      </c>
      <c r="R8312" s="2" t="inlineStr"/>
    </row>
    <row r="8313" ht="15" customHeight="1">
      <c r="A8313" t="inlineStr">
        <is>
          <t>A 58086-2025</t>
        </is>
      </c>
      <c r="B8313" s="1" t="n">
        <v>45982.57108796296</v>
      </c>
      <c r="C8313" s="1" t="n">
        <v>46011</v>
      </c>
      <c r="D8313" t="inlineStr">
        <is>
          <t>VÄSTRA GÖTALANDS LÄN</t>
        </is>
      </c>
      <c r="E8313" t="inlineStr">
        <is>
          <t>LERUM</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61213-2024</t>
        </is>
      </c>
      <c r="B8314" s="1" t="n">
        <v>45645.65461805555</v>
      </c>
      <c r="C8314" s="1" t="n">
        <v>46011</v>
      </c>
      <c r="D8314" t="inlineStr">
        <is>
          <t>VÄSTRA GÖTALANDS LÄN</t>
        </is>
      </c>
      <c r="E8314" t="inlineStr">
        <is>
          <t>SKÖVDE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58137-2025</t>
        </is>
      </c>
      <c r="B8315" s="1" t="n">
        <v>45982.62140046297</v>
      </c>
      <c r="C8315" s="1" t="n">
        <v>46011</v>
      </c>
      <c r="D8315" t="inlineStr">
        <is>
          <t>VÄSTRA GÖTALANDS LÄN</t>
        </is>
      </c>
      <c r="E8315" t="inlineStr">
        <is>
          <t>BOLLEBYGD</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61275-2024</t>
        </is>
      </c>
      <c r="B8316" s="1" t="n">
        <v>45645.74960648148</v>
      </c>
      <c r="C8316" s="1" t="n">
        <v>46011</v>
      </c>
      <c r="D8316" t="inlineStr">
        <is>
          <t>VÄSTRA GÖTALANDS LÄN</t>
        </is>
      </c>
      <c r="E8316" t="inlineStr">
        <is>
          <t>SVENLJUNGA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5168-2021</t>
        </is>
      </c>
      <c r="B8317" s="1" t="n">
        <v>44228</v>
      </c>
      <c r="C8317" s="1" t="n">
        <v>46011</v>
      </c>
      <c r="D8317" t="inlineStr">
        <is>
          <t>VÄSTRA GÖTALANDS LÄN</t>
        </is>
      </c>
      <c r="E8317" t="inlineStr">
        <is>
          <t>TROLLHÄTTAN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5177-2021</t>
        </is>
      </c>
      <c r="B8318" s="1" t="n">
        <v>44228</v>
      </c>
      <c r="C8318" s="1" t="n">
        <v>46011</v>
      </c>
      <c r="D8318" t="inlineStr">
        <is>
          <t>VÄSTRA GÖTALANDS LÄN</t>
        </is>
      </c>
      <c r="E8318" t="inlineStr">
        <is>
          <t>FÄRGELANDA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57644-2025</t>
        </is>
      </c>
      <c r="B8319" s="1" t="n">
        <v>45981.37033564815</v>
      </c>
      <c r="C8319" s="1" t="n">
        <v>46011</v>
      </c>
      <c r="D8319" t="inlineStr">
        <is>
          <t>VÄSTRA GÖTALANDS LÄN</t>
        </is>
      </c>
      <c r="E8319" t="inlineStr">
        <is>
          <t>MARK</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33192-2023</t>
        </is>
      </c>
      <c r="B8320" s="1" t="n">
        <v>45127</v>
      </c>
      <c r="C8320" s="1" t="n">
        <v>46011</v>
      </c>
      <c r="D8320" t="inlineStr">
        <is>
          <t>VÄSTRA GÖTALANDS LÄN</t>
        </is>
      </c>
      <c r="E8320" t="inlineStr">
        <is>
          <t>MUNKEDAL</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59864-2024</t>
        </is>
      </c>
      <c r="B8321" s="1" t="n">
        <v>45639</v>
      </c>
      <c r="C8321" s="1" t="n">
        <v>46011</v>
      </c>
      <c r="D8321" t="inlineStr">
        <is>
          <t>VÄSTRA GÖTALANDS LÄN</t>
        </is>
      </c>
      <c r="E8321" t="inlineStr">
        <is>
          <t>GULLSPÅNG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13692-2021</t>
        </is>
      </c>
      <c r="B8322" s="1" t="n">
        <v>44274</v>
      </c>
      <c r="C8322" s="1" t="n">
        <v>46011</v>
      </c>
      <c r="D8322" t="inlineStr">
        <is>
          <t>VÄSTRA GÖTALANDS LÄN</t>
        </is>
      </c>
      <c r="E8322" t="inlineStr">
        <is>
          <t>HÄRRYDA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49901-2025</t>
        </is>
      </c>
      <c r="B8323" s="1" t="n">
        <v>45940.59416666667</v>
      </c>
      <c r="C8323" s="1" t="n">
        <v>46011</v>
      </c>
      <c r="D8323" t="inlineStr">
        <is>
          <t>VÄSTRA GÖTALANDS LÄN</t>
        </is>
      </c>
      <c r="E8323" t="inlineStr">
        <is>
          <t>DALS-ED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57985-2025</t>
        </is>
      </c>
      <c r="B8324" s="1" t="n">
        <v>45982.41637731482</v>
      </c>
      <c r="C8324" s="1" t="n">
        <v>46011</v>
      </c>
      <c r="D8324" t="inlineStr">
        <is>
          <t>VÄSTRA GÖTALANDS LÄN</t>
        </is>
      </c>
      <c r="E8324" t="inlineStr">
        <is>
          <t>MARK</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10873-2025</t>
        </is>
      </c>
      <c r="B8325" s="1" t="n">
        <v>45722.63233796296</v>
      </c>
      <c r="C8325" s="1" t="n">
        <v>46011</v>
      </c>
      <c r="D8325" t="inlineStr">
        <is>
          <t>VÄSTRA GÖTALANDS LÄN</t>
        </is>
      </c>
      <c r="E8325" t="inlineStr">
        <is>
          <t>DALS-ED</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40128-2023</t>
        </is>
      </c>
      <c r="B8326" s="1" t="n">
        <v>45169</v>
      </c>
      <c r="C8326" s="1" t="n">
        <v>46011</v>
      </c>
      <c r="D8326" t="inlineStr">
        <is>
          <t>VÄSTRA GÖTALANDS LÄN</t>
        </is>
      </c>
      <c r="E8326" t="inlineStr">
        <is>
          <t>KARLSBORG</t>
        </is>
      </c>
      <c r="F8326" t="inlineStr">
        <is>
          <t>Övriga Aktiebolag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14011-2025</t>
        </is>
      </c>
      <c r="B8327" s="1" t="n">
        <v>45740.31306712963</v>
      </c>
      <c r="C8327" s="1" t="n">
        <v>46011</v>
      </c>
      <c r="D8327" t="inlineStr">
        <is>
          <t>VÄSTRA GÖTALANDS LÄN</t>
        </is>
      </c>
      <c r="E8327" t="inlineStr">
        <is>
          <t>TRANEMO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58042-2025</t>
        </is>
      </c>
      <c r="B8328" s="1" t="n">
        <v>45982.50081018519</v>
      </c>
      <c r="C8328" s="1" t="n">
        <v>46011</v>
      </c>
      <c r="D8328" t="inlineStr">
        <is>
          <t>VÄSTRA GÖTALANDS LÄN</t>
        </is>
      </c>
      <c r="E8328" t="inlineStr">
        <is>
          <t>LERUM</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14076-2025</t>
        </is>
      </c>
      <c r="B8329" s="1" t="n">
        <v>45739</v>
      </c>
      <c r="C8329" s="1" t="n">
        <v>46011</v>
      </c>
      <c r="D8329" t="inlineStr">
        <is>
          <t>VÄSTRA GÖTALANDS LÄN</t>
        </is>
      </c>
      <c r="E8329" t="inlineStr">
        <is>
          <t>TANUM</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57651-2025</t>
        </is>
      </c>
      <c r="B8330" s="1" t="n">
        <v>45981.39206018519</v>
      </c>
      <c r="C8330" s="1" t="n">
        <v>46011</v>
      </c>
      <c r="D8330" t="inlineStr">
        <is>
          <t>VÄSTRA GÖTALANDS LÄN</t>
        </is>
      </c>
      <c r="E8330" t="inlineStr">
        <is>
          <t>DALS-ED</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36430-2023</t>
        </is>
      </c>
      <c r="B8331" s="1" t="n">
        <v>45151</v>
      </c>
      <c r="C8331" s="1" t="n">
        <v>46011</v>
      </c>
      <c r="D8331" t="inlineStr">
        <is>
          <t>VÄSTRA GÖTALANDS LÄN</t>
        </is>
      </c>
      <c r="E8331" t="inlineStr">
        <is>
          <t>BENGTSFORS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17137-2025</t>
        </is>
      </c>
      <c r="B8332" s="1" t="n">
        <v>45755</v>
      </c>
      <c r="C8332" s="1" t="n">
        <v>46011</v>
      </c>
      <c r="D8332" t="inlineStr">
        <is>
          <t>VÄSTRA GÖTALANDS LÄN</t>
        </is>
      </c>
      <c r="E8332" t="inlineStr">
        <is>
          <t>TANUM</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6517-2022</t>
        </is>
      </c>
      <c r="B8333" s="1" t="n">
        <v>44601.46166666667</v>
      </c>
      <c r="C8333" s="1" t="n">
        <v>46011</v>
      </c>
      <c r="D8333" t="inlineStr">
        <is>
          <t>VÄSTRA GÖTALANDS LÄN</t>
        </is>
      </c>
      <c r="E8333" t="inlineStr">
        <is>
          <t>VARA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36106-2023</t>
        </is>
      </c>
      <c r="B8334" s="1" t="n">
        <v>45149</v>
      </c>
      <c r="C8334" s="1" t="n">
        <v>46011</v>
      </c>
      <c r="D8334" t="inlineStr">
        <is>
          <t>VÄSTRA GÖTALANDS LÄN</t>
        </is>
      </c>
      <c r="E8334" t="inlineStr">
        <is>
          <t>SVENLJUNGA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36174-2023</t>
        </is>
      </c>
      <c r="B8335" s="1" t="n">
        <v>45149.65513888889</v>
      </c>
      <c r="C8335" s="1" t="n">
        <v>46011</v>
      </c>
      <c r="D8335" t="inlineStr">
        <is>
          <t>VÄSTRA GÖTALANDS LÄN</t>
        </is>
      </c>
      <c r="E8335" t="inlineStr">
        <is>
          <t>HERRLJUNGA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13422-2025</t>
        </is>
      </c>
      <c r="B8336" s="1" t="n">
        <v>45736.32023148148</v>
      </c>
      <c r="C8336" s="1" t="n">
        <v>46011</v>
      </c>
      <c r="D8336" t="inlineStr">
        <is>
          <t>VÄSTRA GÖTALANDS LÄN</t>
        </is>
      </c>
      <c r="E8336" t="inlineStr">
        <is>
          <t>SKÖVDE</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13540-2025</t>
        </is>
      </c>
      <c r="B8337" s="1" t="n">
        <v>45736.53384259259</v>
      </c>
      <c r="C8337" s="1" t="n">
        <v>46011</v>
      </c>
      <c r="D8337" t="inlineStr">
        <is>
          <t>VÄSTRA GÖTALANDS LÄN</t>
        </is>
      </c>
      <c r="E8337" t="inlineStr">
        <is>
          <t>SVENLJUNGA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37152-2025</t>
        </is>
      </c>
      <c r="B8338" s="1" t="n">
        <v>45875</v>
      </c>
      <c r="C8338" s="1" t="n">
        <v>46011</v>
      </c>
      <c r="D8338" t="inlineStr">
        <is>
          <t>VÄSTRA GÖTALANDS LÄN</t>
        </is>
      </c>
      <c r="E8338" t="inlineStr">
        <is>
          <t>LILLA EDET</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37803-2025</t>
        </is>
      </c>
      <c r="B8339" s="1" t="n">
        <v>45881</v>
      </c>
      <c r="C8339" s="1" t="n">
        <v>46011</v>
      </c>
      <c r="D8339" t="inlineStr">
        <is>
          <t>VÄSTRA GÖTALANDS LÄN</t>
        </is>
      </c>
      <c r="E8339" t="inlineStr">
        <is>
          <t>HJO</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37077-2025</t>
        </is>
      </c>
      <c r="B8340" s="1" t="n">
        <v>45875.41504629629</v>
      </c>
      <c r="C8340" s="1" t="n">
        <v>46011</v>
      </c>
      <c r="D8340" t="inlineStr">
        <is>
          <t>VÄSTRA GÖTALANDS LÄN</t>
        </is>
      </c>
      <c r="E8340" t="inlineStr">
        <is>
          <t>TIDAHOLM</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10182-2023</t>
        </is>
      </c>
      <c r="B8341" s="1" t="n">
        <v>44986</v>
      </c>
      <c r="C8341" s="1" t="n">
        <v>46011</v>
      </c>
      <c r="D8341" t="inlineStr">
        <is>
          <t>VÄSTRA GÖTALANDS LÄN</t>
        </is>
      </c>
      <c r="E8341" t="inlineStr">
        <is>
          <t>MARIESTAD</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10235-2023</t>
        </is>
      </c>
      <c r="B8342" s="1" t="n">
        <v>44986.65542824074</v>
      </c>
      <c r="C8342" s="1" t="n">
        <v>46011</v>
      </c>
      <c r="D8342" t="inlineStr">
        <is>
          <t>VÄSTRA GÖTALANDS LÄN</t>
        </is>
      </c>
      <c r="E8342" t="inlineStr">
        <is>
          <t>TIBRO</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49579-2025</t>
        </is>
      </c>
      <c r="B8343" s="1" t="n">
        <v>45939.49269675926</v>
      </c>
      <c r="C8343" s="1" t="n">
        <v>46011</v>
      </c>
      <c r="D8343" t="inlineStr">
        <is>
          <t>VÄSTRA GÖTALANDS LÄN</t>
        </is>
      </c>
      <c r="E8343" t="inlineStr">
        <is>
          <t>MARK</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27117-2022</t>
        </is>
      </c>
      <c r="B8344" s="1" t="n">
        <v>44741</v>
      </c>
      <c r="C8344" s="1" t="n">
        <v>46011</v>
      </c>
      <c r="D8344" t="inlineStr">
        <is>
          <t>VÄSTRA GÖTALANDS LÄN</t>
        </is>
      </c>
      <c r="E8344" t="inlineStr">
        <is>
          <t>LIDKÖPING</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58182-2025</t>
        </is>
      </c>
      <c r="B8345" s="1" t="n">
        <v>45982.85844907408</v>
      </c>
      <c r="C8345" s="1" t="n">
        <v>46011</v>
      </c>
      <c r="D8345" t="inlineStr">
        <is>
          <t>VÄSTRA GÖTALANDS LÄN</t>
        </is>
      </c>
      <c r="E8345" t="inlineStr">
        <is>
          <t>DALS-ED</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58183-2025</t>
        </is>
      </c>
      <c r="B8346" s="1" t="n">
        <v>45982.86425925926</v>
      </c>
      <c r="C8346" s="1" t="n">
        <v>46011</v>
      </c>
      <c r="D8346" t="inlineStr">
        <is>
          <t>VÄSTRA GÖTALANDS LÄN</t>
        </is>
      </c>
      <c r="E8346" t="inlineStr">
        <is>
          <t>DALS-ED</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57580-2025</t>
        </is>
      </c>
      <c r="B8347" s="1" t="n">
        <v>45980</v>
      </c>
      <c r="C8347" s="1" t="n">
        <v>46011</v>
      </c>
      <c r="D8347" t="inlineStr">
        <is>
          <t>VÄSTRA GÖTALANDS LÄN</t>
        </is>
      </c>
      <c r="E8347" t="inlineStr">
        <is>
          <t>ÖCKERÖ</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47045-2023</t>
        </is>
      </c>
      <c r="B8348" s="1" t="n">
        <v>45201.55571759259</v>
      </c>
      <c r="C8348" s="1" t="n">
        <v>46011</v>
      </c>
      <c r="D8348" t="inlineStr">
        <is>
          <t>VÄSTRA GÖTALANDS LÄN</t>
        </is>
      </c>
      <c r="E8348" t="inlineStr">
        <is>
          <t>FÄRGELANDA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37925-2025</t>
        </is>
      </c>
      <c r="B8349" s="1" t="n">
        <v>45881.57799768518</v>
      </c>
      <c r="C8349" s="1" t="n">
        <v>46011</v>
      </c>
      <c r="D8349" t="inlineStr">
        <is>
          <t>VÄSTRA GÖTALANDS LÄN</t>
        </is>
      </c>
      <c r="E8349" t="inlineStr">
        <is>
          <t>GULLSPÅNG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57762-2025</t>
        </is>
      </c>
      <c r="B8350" s="1" t="n">
        <v>45981.55390046296</v>
      </c>
      <c r="C8350" s="1" t="n">
        <v>46011</v>
      </c>
      <c r="D8350" t="inlineStr">
        <is>
          <t>VÄSTRA GÖTALANDS LÄN</t>
        </is>
      </c>
      <c r="E8350" t="inlineStr">
        <is>
          <t>UDDEVALLA</t>
        </is>
      </c>
      <c r="F8350" t="inlineStr">
        <is>
          <t>Kyrkan</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23494-2023</t>
        </is>
      </c>
      <c r="B8351" s="1" t="n">
        <v>45072</v>
      </c>
      <c r="C8351" s="1" t="n">
        <v>46011</v>
      </c>
      <c r="D8351" t="inlineStr">
        <is>
          <t>VÄSTRA GÖTALANDS LÄN</t>
        </is>
      </c>
      <c r="E8351" t="inlineStr">
        <is>
          <t>LILLA EDET</t>
        </is>
      </c>
      <c r="F8351" t="inlineStr">
        <is>
          <t>Kyrkan</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16716-2023</t>
        </is>
      </c>
      <c r="B8352" s="1" t="n">
        <v>45030</v>
      </c>
      <c r="C8352" s="1" t="n">
        <v>46011</v>
      </c>
      <c r="D8352" t="inlineStr">
        <is>
          <t>VÄSTRA GÖTALANDS LÄN</t>
        </is>
      </c>
      <c r="E8352" t="inlineStr">
        <is>
          <t>MARK</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38054-2025</t>
        </is>
      </c>
      <c r="B8353" s="1" t="n">
        <v>45882</v>
      </c>
      <c r="C8353" s="1" t="n">
        <v>46011</v>
      </c>
      <c r="D8353" t="inlineStr">
        <is>
          <t>VÄSTRA GÖTALANDS LÄN</t>
        </is>
      </c>
      <c r="E8353" t="inlineStr">
        <is>
          <t>HJO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49469-2025</t>
        </is>
      </c>
      <c r="B8354" s="1" t="n">
        <v>45939.34195601852</v>
      </c>
      <c r="C8354" s="1" t="n">
        <v>46011</v>
      </c>
      <c r="D8354" t="inlineStr">
        <is>
          <t>VÄSTRA GÖTALANDS LÄN</t>
        </is>
      </c>
      <c r="E8354" t="inlineStr">
        <is>
          <t>DALS-ED</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49670-2025</t>
        </is>
      </c>
      <c r="B8355" s="1" t="n">
        <v>45939.63877314814</v>
      </c>
      <c r="C8355" s="1" t="n">
        <v>46011</v>
      </c>
      <c r="D8355" t="inlineStr">
        <is>
          <t>VÄSTRA GÖTALANDS LÄN</t>
        </is>
      </c>
      <c r="E8355" t="inlineStr">
        <is>
          <t>TÖREBODA</t>
        </is>
      </c>
      <c r="F8355" t="inlineStr">
        <is>
          <t>Kyrkan</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57891-2025</t>
        </is>
      </c>
      <c r="B8356" s="1" t="n">
        <v>45981.68199074074</v>
      </c>
      <c r="C8356" s="1" t="n">
        <v>46011</v>
      </c>
      <c r="D8356" t="inlineStr">
        <is>
          <t>VÄSTRA GÖTALANDS LÄN</t>
        </is>
      </c>
      <c r="E8356" t="inlineStr">
        <is>
          <t>TROLLHÄTTAN</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29526-2024</t>
        </is>
      </c>
      <c r="B8357" s="1" t="n">
        <v>45484.46217592592</v>
      </c>
      <c r="C8357" s="1" t="n">
        <v>46011</v>
      </c>
      <c r="D8357" t="inlineStr">
        <is>
          <t>VÄSTRA GÖTALANDS LÄN</t>
        </is>
      </c>
      <c r="E8357" t="inlineStr">
        <is>
          <t>UDDEVALLA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38087-2025</t>
        </is>
      </c>
      <c r="B8358" s="1" t="n">
        <v>45882.47818287037</v>
      </c>
      <c r="C8358" s="1" t="n">
        <v>46011</v>
      </c>
      <c r="D8358" t="inlineStr">
        <is>
          <t>VÄSTRA GÖTALANDS LÄN</t>
        </is>
      </c>
      <c r="E8358" t="inlineStr">
        <is>
          <t>ULRICEHAMN</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38126-2025</t>
        </is>
      </c>
      <c r="B8359" s="1" t="n">
        <v>45882.55833333333</v>
      </c>
      <c r="C8359" s="1" t="n">
        <v>46011</v>
      </c>
      <c r="D8359" t="inlineStr">
        <is>
          <t>VÄSTRA GÖTALANDS LÄN</t>
        </is>
      </c>
      <c r="E8359" t="inlineStr">
        <is>
          <t>UDDEVALLA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57921-2025</t>
        </is>
      </c>
      <c r="B8360" s="1" t="n">
        <v>45981.81599537037</v>
      </c>
      <c r="C8360" s="1" t="n">
        <v>46011</v>
      </c>
      <c r="D8360" t="inlineStr">
        <is>
          <t>VÄSTRA GÖTALANDS LÄN</t>
        </is>
      </c>
      <c r="E8360" t="inlineStr">
        <is>
          <t>MARIESTAD</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37889-2025</t>
        </is>
      </c>
      <c r="B8361" s="1" t="n">
        <v>45881.52247685185</v>
      </c>
      <c r="C8361" s="1" t="n">
        <v>46011</v>
      </c>
      <c r="D8361" t="inlineStr">
        <is>
          <t>VÄSTRA GÖTALANDS LÄN</t>
        </is>
      </c>
      <c r="E8361" t="inlineStr">
        <is>
          <t>BENGTSFORS</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37929-2025</t>
        </is>
      </c>
      <c r="B8362" s="1" t="n">
        <v>45881.58626157408</v>
      </c>
      <c r="C8362" s="1" t="n">
        <v>46011</v>
      </c>
      <c r="D8362" t="inlineStr">
        <is>
          <t>VÄSTRA GÖTALANDS LÄN</t>
        </is>
      </c>
      <c r="E8362" t="inlineStr">
        <is>
          <t>BENGTSFORS</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1122-2025</t>
        </is>
      </c>
      <c r="B8363" s="1" t="n">
        <v>45666.66532407407</v>
      </c>
      <c r="C8363" s="1" t="n">
        <v>46011</v>
      </c>
      <c r="D8363" t="inlineStr">
        <is>
          <t>VÄSTRA GÖTALANDS LÄN</t>
        </is>
      </c>
      <c r="E8363" t="inlineStr">
        <is>
          <t>VÅRGÅRDA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49816-2025</t>
        </is>
      </c>
      <c r="B8364" s="1" t="n">
        <v>45940.43407407407</v>
      </c>
      <c r="C8364" s="1" t="n">
        <v>46011</v>
      </c>
      <c r="D8364" t="inlineStr">
        <is>
          <t>VÄSTRA GÖTALANDS LÄN</t>
        </is>
      </c>
      <c r="E8364" t="inlineStr">
        <is>
          <t>MARK</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23762-2024</t>
        </is>
      </c>
      <c r="B8365" s="1" t="n">
        <v>45455.36590277778</v>
      </c>
      <c r="C8365" s="1" t="n">
        <v>46011</v>
      </c>
      <c r="D8365" t="inlineStr">
        <is>
          <t>VÄSTRA GÖTALANDS LÄN</t>
        </is>
      </c>
      <c r="E8365" t="inlineStr">
        <is>
          <t>STENUNGSUND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49693-2025</t>
        </is>
      </c>
      <c r="B8366" s="1" t="n">
        <v>45939.67203703704</v>
      </c>
      <c r="C8366" s="1" t="n">
        <v>46011</v>
      </c>
      <c r="D8366" t="inlineStr">
        <is>
          <t>VÄSTRA GÖTALANDS LÄN</t>
        </is>
      </c>
      <c r="E8366" t="inlineStr">
        <is>
          <t>ESSUNGA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57581-2025</t>
        </is>
      </c>
      <c r="B8367" s="1" t="n">
        <v>45980</v>
      </c>
      <c r="C8367" s="1" t="n">
        <v>46011</v>
      </c>
      <c r="D8367" t="inlineStr">
        <is>
          <t>VÄSTRA GÖTALANDS LÄN</t>
        </is>
      </c>
      <c r="E8367" t="inlineStr">
        <is>
          <t>KARLSBORG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57993-2025</t>
        </is>
      </c>
      <c r="B8368" s="1" t="n">
        <v>45982.42884259259</v>
      </c>
      <c r="C8368" s="1" t="n">
        <v>46011</v>
      </c>
      <c r="D8368" t="inlineStr">
        <is>
          <t>VÄSTRA GÖTALANDS LÄN</t>
        </is>
      </c>
      <c r="E8368" t="inlineStr">
        <is>
          <t>MARK</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57882-2025</t>
        </is>
      </c>
      <c r="B8369" s="1" t="n">
        <v>45981.66472222222</v>
      </c>
      <c r="C8369" s="1" t="n">
        <v>46011</v>
      </c>
      <c r="D8369" t="inlineStr">
        <is>
          <t>VÄSTRA GÖTALANDS LÄN</t>
        </is>
      </c>
      <c r="E8369" t="inlineStr">
        <is>
          <t>BENGTSFORS</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49470-2025</t>
        </is>
      </c>
      <c r="B8370" s="1" t="n">
        <v>45939.34302083333</v>
      </c>
      <c r="C8370" s="1" t="n">
        <v>46011</v>
      </c>
      <c r="D8370" t="inlineStr">
        <is>
          <t>VÄSTRA GÖTALANDS LÄN</t>
        </is>
      </c>
      <c r="E8370" t="inlineStr">
        <is>
          <t>DALS-ED</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2058-2025</t>
        </is>
      </c>
      <c r="B8371" s="1" t="n">
        <v>45671</v>
      </c>
      <c r="C8371" s="1" t="n">
        <v>46011</v>
      </c>
      <c r="D8371" t="inlineStr">
        <is>
          <t>VÄSTRA GÖTALANDS LÄN</t>
        </is>
      </c>
      <c r="E8371" t="inlineStr">
        <is>
          <t>LYSEKIL</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38614-2025</t>
        </is>
      </c>
      <c r="B8372" s="1" t="n">
        <v>45884.54458333334</v>
      </c>
      <c r="C8372" s="1" t="n">
        <v>46011</v>
      </c>
      <c r="D8372" t="inlineStr">
        <is>
          <t>VÄSTRA GÖTALANDS LÄN</t>
        </is>
      </c>
      <c r="E8372" t="inlineStr">
        <is>
          <t>VÄNERSBORG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57365-2025</t>
        </is>
      </c>
      <c r="B8373" s="1" t="n">
        <v>45980</v>
      </c>
      <c r="C8373" s="1" t="n">
        <v>46011</v>
      </c>
      <c r="D8373" t="inlineStr">
        <is>
          <t>VÄSTRA GÖTALANDS LÄN</t>
        </is>
      </c>
      <c r="E8373" t="inlineStr">
        <is>
          <t>BENGTSFORS</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57972-2025</t>
        </is>
      </c>
      <c r="B8374" s="1" t="n">
        <v>45982.3900462963</v>
      </c>
      <c r="C8374" s="1" t="n">
        <v>46011</v>
      </c>
      <c r="D8374" t="inlineStr">
        <is>
          <t>VÄSTRA GÖTALANDS LÄN</t>
        </is>
      </c>
      <c r="E8374" t="inlineStr">
        <is>
          <t>TANUM</t>
        </is>
      </c>
      <c r="F8374" t="inlineStr">
        <is>
          <t>Kyrkan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46128-2022</t>
        </is>
      </c>
      <c r="B8375" s="1" t="n">
        <v>44847.43722222222</v>
      </c>
      <c r="C8375" s="1" t="n">
        <v>46011</v>
      </c>
      <c r="D8375" t="inlineStr">
        <is>
          <t>VÄSTRA GÖTALANDS LÄN</t>
        </is>
      </c>
      <c r="E8375" t="inlineStr">
        <is>
          <t>HERRLJUNGA</t>
        </is>
      </c>
      <c r="F8375" t="inlineStr">
        <is>
          <t>Sveaskog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49866-2025</t>
        </is>
      </c>
      <c r="B8376" s="1" t="n">
        <v>45940.53121527778</v>
      </c>
      <c r="C8376" s="1" t="n">
        <v>46011</v>
      </c>
      <c r="D8376" t="inlineStr">
        <is>
          <t>VÄSTRA GÖTALANDS LÄN</t>
        </is>
      </c>
      <c r="E8376" t="inlineStr">
        <is>
          <t>KARLSBORG</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58073-2025</t>
        </is>
      </c>
      <c r="B8377" s="1" t="n">
        <v>45982.55194444444</v>
      </c>
      <c r="C8377" s="1" t="n">
        <v>46011</v>
      </c>
      <c r="D8377" t="inlineStr">
        <is>
          <t>VÄSTRA GÖTALANDS LÄN</t>
        </is>
      </c>
      <c r="E8377" t="inlineStr">
        <is>
          <t>LERUM</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58033-2025</t>
        </is>
      </c>
      <c r="B8378" s="1" t="n">
        <v>45982.48869212963</v>
      </c>
      <c r="C8378" s="1" t="n">
        <v>46011</v>
      </c>
      <c r="D8378" t="inlineStr">
        <is>
          <t>VÄSTRA GÖTALANDS LÄN</t>
        </is>
      </c>
      <c r="E8378" t="inlineStr">
        <is>
          <t>SVENLJUNGA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33764-2021</t>
        </is>
      </c>
      <c r="B8379" s="1" t="n">
        <v>44378</v>
      </c>
      <c r="C8379" s="1" t="n">
        <v>46011</v>
      </c>
      <c r="D8379" t="inlineStr">
        <is>
          <t>VÄSTRA GÖTALANDS LÄN</t>
        </is>
      </c>
      <c r="E8379" t="inlineStr">
        <is>
          <t>ALINGSÅS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12081-2025</t>
        </is>
      </c>
      <c r="B8380" s="1" t="n">
        <v>45728.90636574074</v>
      </c>
      <c r="C8380" s="1" t="n">
        <v>46011</v>
      </c>
      <c r="D8380" t="inlineStr">
        <is>
          <t>VÄSTRA GÖTALANDS LÄN</t>
        </is>
      </c>
      <c r="E8380" t="inlineStr">
        <is>
          <t>FALKÖPING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54565-2025</t>
        </is>
      </c>
      <c r="B8381" s="1" t="n">
        <v>45965</v>
      </c>
      <c r="C8381" s="1" t="n">
        <v>46011</v>
      </c>
      <c r="D8381" t="inlineStr">
        <is>
          <t>VÄSTRA GÖTALANDS LÄN</t>
        </is>
      </c>
      <c r="E8381" t="inlineStr">
        <is>
          <t>TÖREBODA</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88-2025</t>
        </is>
      </c>
      <c r="B8382" s="1" t="n">
        <v>45659.46386574074</v>
      </c>
      <c r="C8382" s="1" t="n">
        <v>46011</v>
      </c>
      <c r="D8382" t="inlineStr">
        <is>
          <t>VÄSTRA GÖTALANDS LÄN</t>
        </is>
      </c>
      <c r="E8382" t="inlineStr">
        <is>
          <t>MÖLNDAL</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62775-2023</t>
        </is>
      </c>
      <c r="B8383" s="1" t="n">
        <v>45271</v>
      </c>
      <c r="C8383" s="1" t="n">
        <v>46011</v>
      </c>
      <c r="D8383" t="inlineStr">
        <is>
          <t>VÄSTRA GÖTALANDS LÄN</t>
        </is>
      </c>
      <c r="E8383" t="inlineStr">
        <is>
          <t>VARA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35431-2022</t>
        </is>
      </c>
      <c r="B8384" s="1" t="n">
        <v>44798</v>
      </c>
      <c r="C8384" s="1" t="n">
        <v>46011</v>
      </c>
      <c r="D8384" t="inlineStr">
        <is>
          <t>VÄSTRA GÖTALANDS LÄN</t>
        </is>
      </c>
      <c r="E8384" t="inlineStr">
        <is>
          <t>MARK</t>
        </is>
      </c>
      <c r="F8384" t="inlineStr">
        <is>
          <t>Sveaskog</t>
        </is>
      </c>
      <c r="G8384" t="n">
        <v>8.5</v>
      </c>
      <c r="H8384" t="n">
        <v>0</v>
      </c>
      <c r="I8384" t="n">
        <v>0</v>
      </c>
      <c r="J8384" t="n">
        <v>0</v>
      </c>
      <c r="K8384" t="n">
        <v>0</v>
      </c>
      <c r="L8384" t="n">
        <v>0</v>
      </c>
      <c r="M8384" t="n">
        <v>0</v>
      </c>
      <c r="N8384" t="n">
        <v>0</v>
      </c>
      <c r="O8384" t="n">
        <v>0</v>
      </c>
      <c r="P8384" t="n">
        <v>0</v>
      </c>
      <c r="Q8384" t="n">
        <v>0</v>
      </c>
      <c r="R8384" s="2" t="inlineStr"/>
    </row>
    <row r="8385" ht="15" customHeight="1">
      <c r="A8385" t="inlineStr">
        <is>
          <t>A 49864-2025</t>
        </is>
      </c>
      <c r="B8385" s="1" t="n">
        <v>45940.52149305555</v>
      </c>
      <c r="C8385" s="1" t="n">
        <v>46011</v>
      </c>
      <c r="D8385" t="inlineStr">
        <is>
          <t>VÄSTRA GÖTALANDS LÄN</t>
        </is>
      </c>
      <c r="E8385" t="inlineStr">
        <is>
          <t>KARLSBORG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49886-2025</t>
        </is>
      </c>
      <c r="B8386" s="1" t="n">
        <v>45940.57215277778</v>
      </c>
      <c r="C8386" s="1" t="n">
        <v>46011</v>
      </c>
      <c r="D8386" t="inlineStr">
        <is>
          <t>VÄSTRA GÖTALANDS LÄN</t>
        </is>
      </c>
      <c r="E8386" t="inlineStr">
        <is>
          <t>BENGTSFORS</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5662-2025</t>
        </is>
      </c>
      <c r="B8387" s="1" t="n">
        <v>45693.7809375</v>
      </c>
      <c r="C8387" s="1" t="n">
        <v>46011</v>
      </c>
      <c r="D8387" t="inlineStr">
        <is>
          <t>VÄSTRA GÖTALANDS LÄN</t>
        </is>
      </c>
      <c r="E8387" t="inlineStr">
        <is>
          <t>DALS-ED</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49837-2025</t>
        </is>
      </c>
      <c r="B8388" s="1" t="n">
        <v>45940.46891203704</v>
      </c>
      <c r="C8388" s="1" t="n">
        <v>46011</v>
      </c>
      <c r="D8388" t="inlineStr">
        <is>
          <t>VÄSTRA GÖTALANDS LÄN</t>
        </is>
      </c>
      <c r="E8388" t="inlineStr">
        <is>
          <t>ALINGSÅS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49843-2025</t>
        </is>
      </c>
      <c r="B8389" s="1" t="n">
        <v>45940.47415509259</v>
      </c>
      <c r="C8389" s="1" t="n">
        <v>46011</v>
      </c>
      <c r="D8389" t="inlineStr">
        <is>
          <t>VÄSTRA GÖTALANDS LÄN</t>
        </is>
      </c>
      <c r="E8389" t="inlineStr">
        <is>
          <t>ALINGSÅS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49948-2025</t>
        </is>
      </c>
      <c r="B8390" s="1" t="n">
        <v>45940.74016203704</v>
      </c>
      <c r="C8390" s="1" t="n">
        <v>46011</v>
      </c>
      <c r="D8390" t="inlineStr">
        <is>
          <t>VÄSTRA GÖTALANDS LÄN</t>
        </is>
      </c>
      <c r="E8390" t="inlineStr">
        <is>
          <t>BORÅS</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8877-2025</t>
        </is>
      </c>
      <c r="B8391" s="1" t="n">
        <v>45713.37665509259</v>
      </c>
      <c r="C8391" s="1" t="n">
        <v>46011</v>
      </c>
      <c r="D8391" t="inlineStr">
        <is>
          <t>VÄSTRA GÖTALANDS LÄN</t>
        </is>
      </c>
      <c r="E8391" t="inlineStr">
        <is>
          <t>TIBRO</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8965-2025</t>
        </is>
      </c>
      <c r="B8392" s="1" t="n">
        <v>45713.49025462963</v>
      </c>
      <c r="C8392" s="1" t="n">
        <v>46011</v>
      </c>
      <c r="D8392" t="inlineStr">
        <is>
          <t>VÄSTRA GÖTALANDS LÄN</t>
        </is>
      </c>
      <c r="E8392" t="inlineStr">
        <is>
          <t>TÖREBODA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8994-2025</t>
        </is>
      </c>
      <c r="B8393" s="1" t="n">
        <v>45713.549375</v>
      </c>
      <c r="C8393" s="1" t="n">
        <v>46011</v>
      </c>
      <c r="D8393" t="inlineStr">
        <is>
          <t>VÄSTRA GÖTALANDS LÄN</t>
        </is>
      </c>
      <c r="E8393" t="inlineStr">
        <is>
          <t>TRANEMO</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49687-2025</t>
        </is>
      </c>
      <c r="B8394" s="1" t="n">
        <v>45939.66118055556</v>
      </c>
      <c r="C8394" s="1" t="n">
        <v>46011</v>
      </c>
      <c r="D8394" t="inlineStr">
        <is>
          <t>VÄSTRA GÖTALANDS LÄN</t>
        </is>
      </c>
      <c r="E8394" t="inlineStr">
        <is>
          <t>TRANEMO</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33924-2021</t>
        </is>
      </c>
      <c r="B8395" s="1" t="n">
        <v>44378.73106481481</v>
      </c>
      <c r="C8395" s="1" t="n">
        <v>46011</v>
      </c>
      <c r="D8395" t="inlineStr">
        <is>
          <t>VÄSTRA GÖTALANDS LÄN</t>
        </is>
      </c>
      <c r="E8395" t="inlineStr">
        <is>
          <t>FALKÖPING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44462-2023</t>
        </is>
      </c>
      <c r="B8396" s="1" t="n">
        <v>45189.39472222222</v>
      </c>
      <c r="C8396" s="1" t="n">
        <v>46011</v>
      </c>
      <c r="D8396" t="inlineStr">
        <is>
          <t>VÄSTRA GÖTALANDS LÄN</t>
        </is>
      </c>
      <c r="E8396" t="inlineStr">
        <is>
          <t>BENGTSFORS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44465-2023</t>
        </is>
      </c>
      <c r="B8397" s="1" t="n">
        <v>45189.40020833333</v>
      </c>
      <c r="C8397" s="1" t="n">
        <v>46011</v>
      </c>
      <c r="D8397" t="inlineStr">
        <is>
          <t>VÄSTRA GÖTALANDS LÄN</t>
        </is>
      </c>
      <c r="E8397" t="inlineStr">
        <is>
          <t>DALS-ED</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44518-2023</t>
        </is>
      </c>
      <c r="B8398" s="1" t="n">
        <v>45189</v>
      </c>
      <c r="C8398" s="1" t="n">
        <v>46011</v>
      </c>
      <c r="D8398" t="inlineStr">
        <is>
          <t>VÄSTRA GÖTALANDS LÄN</t>
        </is>
      </c>
      <c r="E8398" t="inlineStr">
        <is>
          <t>TÖREBODA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44529-2023</t>
        </is>
      </c>
      <c r="B8399" s="1" t="n">
        <v>45189</v>
      </c>
      <c r="C8399" s="1" t="n">
        <v>46011</v>
      </c>
      <c r="D8399" t="inlineStr">
        <is>
          <t>VÄSTRA GÖTALANDS LÄN</t>
        </is>
      </c>
      <c r="E8399" t="inlineStr">
        <is>
          <t>STRÖMSTAD</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13303-2023</t>
        </is>
      </c>
      <c r="B8400" s="1" t="n">
        <v>45005</v>
      </c>
      <c r="C8400" s="1" t="n">
        <v>46011</v>
      </c>
      <c r="D8400" t="inlineStr">
        <is>
          <t>VÄSTRA GÖTALANDS LÄN</t>
        </is>
      </c>
      <c r="E8400" t="inlineStr">
        <is>
          <t>MUNKEDAL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49731-2025</t>
        </is>
      </c>
      <c r="B8401" s="1" t="n">
        <v>45939.92876157408</v>
      </c>
      <c r="C8401" s="1" t="n">
        <v>46011</v>
      </c>
      <c r="D8401" t="inlineStr">
        <is>
          <t>VÄSTRA GÖTALANDS LÄN</t>
        </is>
      </c>
      <c r="E8401" t="inlineStr">
        <is>
          <t>MUNKEDAL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21884-2025</t>
        </is>
      </c>
      <c r="B8402" s="1" t="n">
        <v>45784</v>
      </c>
      <c r="C8402" s="1" t="n">
        <v>46011</v>
      </c>
      <c r="D8402" t="inlineStr">
        <is>
          <t>VÄSTRA GÖTALANDS LÄN</t>
        </is>
      </c>
      <c r="E8402" t="inlineStr">
        <is>
          <t>MARK</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49460-2025</t>
        </is>
      </c>
      <c r="B8403" s="1" t="n">
        <v>45939.31943287037</v>
      </c>
      <c r="C8403" s="1" t="n">
        <v>46011</v>
      </c>
      <c r="D8403" t="inlineStr">
        <is>
          <t>VÄSTRA GÖTALANDS LÄN</t>
        </is>
      </c>
      <c r="E8403" t="inlineStr">
        <is>
          <t>BOLLEBYGD</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29891-2022</t>
        </is>
      </c>
      <c r="B8404" s="1" t="n">
        <v>44756.48106481481</v>
      </c>
      <c r="C8404" s="1" t="n">
        <v>46011</v>
      </c>
      <c r="D8404" t="inlineStr">
        <is>
          <t>VÄSTRA GÖTALANDS LÄN</t>
        </is>
      </c>
      <c r="E8404" t="inlineStr">
        <is>
          <t>TÖREBODA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31073-2022</t>
        </is>
      </c>
      <c r="B8405" s="1" t="n">
        <v>44769.57590277777</v>
      </c>
      <c r="C8405" s="1" t="n">
        <v>46011</v>
      </c>
      <c r="D8405" t="inlineStr">
        <is>
          <t>VÄSTRA GÖTALANDS LÄN</t>
        </is>
      </c>
      <c r="E8405" t="inlineStr">
        <is>
          <t>GRÄSTORP</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49563-2025</t>
        </is>
      </c>
      <c r="B8406" s="1" t="n">
        <v>45939.46600694444</v>
      </c>
      <c r="C8406" s="1" t="n">
        <v>46011</v>
      </c>
      <c r="D8406" t="inlineStr">
        <is>
          <t>VÄSTRA GÖTALANDS LÄN</t>
        </is>
      </c>
      <c r="E8406" t="inlineStr">
        <is>
          <t>TRANEMO</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9725-2023</t>
        </is>
      </c>
      <c r="B8407" s="1" t="n">
        <v>44984</v>
      </c>
      <c r="C8407" s="1" t="n">
        <v>46011</v>
      </c>
      <c r="D8407" t="inlineStr">
        <is>
          <t>VÄSTRA GÖTALANDS LÄN</t>
        </is>
      </c>
      <c r="E8407" t="inlineStr">
        <is>
          <t>VÅRGÅRDA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57638-2025</t>
        </is>
      </c>
      <c r="B8408" s="1" t="n">
        <v>45981.35884259259</v>
      </c>
      <c r="C8408" s="1" t="n">
        <v>46011</v>
      </c>
      <c r="D8408" t="inlineStr">
        <is>
          <t>VÄSTRA GÖTALANDS LÄN</t>
        </is>
      </c>
      <c r="E8408" t="inlineStr">
        <is>
          <t>BENGTSFORS</t>
        </is>
      </c>
      <c r="F8408" t="inlineStr">
        <is>
          <t>Övriga Aktiebolag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9739-2023</t>
        </is>
      </c>
      <c r="B8409" s="1" t="n">
        <v>44984</v>
      </c>
      <c r="C8409" s="1" t="n">
        <v>46011</v>
      </c>
      <c r="D8409" t="inlineStr">
        <is>
          <t>VÄSTRA GÖTALANDS LÄN</t>
        </is>
      </c>
      <c r="E8409" t="inlineStr">
        <is>
          <t>MUNKEDAL</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49955-2021</t>
        </is>
      </c>
      <c r="B8410" s="1" t="n">
        <v>44456</v>
      </c>
      <c r="C8410" s="1" t="n">
        <v>46011</v>
      </c>
      <c r="D8410" t="inlineStr">
        <is>
          <t>VÄSTRA GÖTALANDS LÄN</t>
        </is>
      </c>
      <c r="E8410" t="inlineStr">
        <is>
          <t>ALE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26081-2025</t>
        </is>
      </c>
      <c r="B8411" s="1" t="n">
        <v>45805.34295138889</v>
      </c>
      <c r="C8411" s="1" t="n">
        <v>46011</v>
      </c>
      <c r="D8411" t="inlineStr">
        <is>
          <t>VÄSTRA GÖTALANDS LÄN</t>
        </is>
      </c>
      <c r="E8411" t="inlineStr">
        <is>
          <t>MUNKEDAL</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49598-2025</t>
        </is>
      </c>
      <c r="B8412" s="1" t="n">
        <v>45939.53748842593</v>
      </c>
      <c r="C8412" s="1" t="n">
        <v>46011</v>
      </c>
      <c r="D8412" t="inlineStr">
        <is>
          <t>VÄSTRA GÖTALANDS LÄN</t>
        </is>
      </c>
      <c r="E8412" t="inlineStr">
        <is>
          <t>VÅRGÅRDA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30577-2022</t>
        </is>
      </c>
      <c r="B8413" s="1" t="n">
        <v>44762.62707175926</v>
      </c>
      <c r="C8413" s="1" t="n">
        <v>46011</v>
      </c>
      <c r="D8413" t="inlineStr">
        <is>
          <t>VÄSTRA GÖTALANDS LÄN</t>
        </is>
      </c>
      <c r="E8413" t="inlineStr">
        <is>
          <t>MARK</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31711-2023</t>
        </is>
      </c>
      <c r="B8414" s="1" t="n">
        <v>45117.82019675926</v>
      </c>
      <c r="C8414" s="1" t="n">
        <v>46011</v>
      </c>
      <c r="D8414" t="inlineStr">
        <is>
          <t>VÄSTRA GÖTALANDS LÄN</t>
        </is>
      </c>
      <c r="E8414" t="inlineStr">
        <is>
          <t>BOLLEBYGD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31727-2023</t>
        </is>
      </c>
      <c r="B8415" s="1" t="n">
        <v>45117</v>
      </c>
      <c r="C8415" s="1" t="n">
        <v>46011</v>
      </c>
      <c r="D8415" t="inlineStr">
        <is>
          <t>VÄSTRA GÖTALANDS LÄN</t>
        </is>
      </c>
      <c r="E8415" t="inlineStr">
        <is>
          <t>BOLLEBYGD</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31728-2023</t>
        </is>
      </c>
      <c r="B8416" s="1" t="n">
        <v>45117</v>
      </c>
      <c r="C8416" s="1" t="n">
        <v>46011</v>
      </c>
      <c r="D8416" t="inlineStr">
        <is>
          <t>VÄSTRA GÖTALANDS LÄN</t>
        </is>
      </c>
      <c r="E8416" t="inlineStr">
        <is>
          <t>BOLLEBYGD</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24453-2025</t>
        </is>
      </c>
      <c r="B8417" s="1" t="n">
        <v>45798.34398148148</v>
      </c>
      <c r="C8417" s="1" t="n">
        <v>46011</v>
      </c>
      <c r="D8417" t="inlineStr">
        <is>
          <t>VÄSTRA GÖTALANDS LÄN</t>
        </is>
      </c>
      <c r="E8417" t="inlineStr">
        <is>
          <t>GRÄSTORP</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31546-2022</t>
        </is>
      </c>
      <c r="B8418" s="1" t="n">
        <v>44775</v>
      </c>
      <c r="C8418" s="1" t="n">
        <v>46011</v>
      </c>
      <c r="D8418" t="inlineStr">
        <is>
          <t>VÄSTRA GÖTALANDS LÄN</t>
        </is>
      </c>
      <c r="E8418" t="inlineStr">
        <is>
          <t>BOLLEBYGD</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32960-2023</t>
        </is>
      </c>
      <c r="B8419" s="1" t="n">
        <v>45125</v>
      </c>
      <c r="C8419" s="1" t="n">
        <v>46011</v>
      </c>
      <c r="D8419" t="inlineStr">
        <is>
          <t>VÄSTRA GÖTALANDS LÄN</t>
        </is>
      </c>
      <c r="E8419" t="inlineStr">
        <is>
          <t>STENUNGSUND</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33119-2022</t>
        </is>
      </c>
      <c r="B8420" s="1" t="n">
        <v>44785</v>
      </c>
      <c r="C8420" s="1" t="n">
        <v>46011</v>
      </c>
      <c r="D8420" t="inlineStr">
        <is>
          <t>VÄSTRA GÖTALANDS LÄN</t>
        </is>
      </c>
      <c r="E8420" t="inlineStr">
        <is>
          <t>SVENLJUNGA</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55775-2025</t>
        </is>
      </c>
      <c r="B8421" s="1" t="n">
        <v>45972</v>
      </c>
      <c r="C8421" s="1" t="n">
        <v>46011</v>
      </c>
      <c r="D8421" t="inlineStr">
        <is>
          <t>VÄSTRA GÖTALANDS LÄN</t>
        </is>
      </c>
      <c r="E8421" t="inlineStr">
        <is>
          <t>ALINGSÅS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49880-2025</t>
        </is>
      </c>
      <c r="B8422" s="1" t="n">
        <v>45940.56752314815</v>
      </c>
      <c r="C8422" s="1" t="n">
        <v>46011</v>
      </c>
      <c r="D8422" t="inlineStr">
        <is>
          <t>VÄSTRA GÖTALANDS LÄN</t>
        </is>
      </c>
      <c r="E8422" t="inlineStr">
        <is>
          <t>BENGTSFORS</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31947-2021</t>
        </is>
      </c>
      <c r="B8423" s="1" t="n">
        <v>44370</v>
      </c>
      <c r="C8423" s="1" t="n">
        <v>46011</v>
      </c>
      <c r="D8423" t="inlineStr">
        <is>
          <t>VÄSTRA GÖTALANDS LÄN</t>
        </is>
      </c>
      <c r="E8423" t="inlineStr">
        <is>
          <t>BENGTSFORS</t>
        </is>
      </c>
      <c r="G8423" t="n">
        <v>21.8</v>
      </c>
      <c r="H8423" t="n">
        <v>0</v>
      </c>
      <c r="I8423" t="n">
        <v>0</v>
      </c>
      <c r="J8423" t="n">
        <v>0</v>
      </c>
      <c r="K8423" t="n">
        <v>0</v>
      </c>
      <c r="L8423" t="n">
        <v>0</v>
      </c>
      <c r="M8423" t="n">
        <v>0</v>
      </c>
      <c r="N8423" t="n">
        <v>0</v>
      </c>
      <c r="O8423" t="n">
        <v>0</v>
      </c>
      <c r="P8423" t="n">
        <v>0</v>
      </c>
      <c r="Q8423" t="n">
        <v>0</v>
      </c>
      <c r="R8423" s="2" t="inlineStr"/>
    </row>
    <row r="8424" ht="15" customHeight="1">
      <c r="A8424" t="inlineStr">
        <is>
          <t>A 26208-2021</t>
        </is>
      </c>
      <c r="B8424" s="1" t="n">
        <v>44347</v>
      </c>
      <c r="C8424" s="1" t="n">
        <v>46011</v>
      </c>
      <c r="D8424" t="inlineStr">
        <is>
          <t>VÄSTRA GÖTALANDS LÄN</t>
        </is>
      </c>
      <c r="E8424" t="inlineStr">
        <is>
          <t>TÖREBODA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49884-2025</t>
        </is>
      </c>
      <c r="B8425" s="1" t="n">
        <v>45940.56982638889</v>
      </c>
      <c r="C8425" s="1" t="n">
        <v>46011</v>
      </c>
      <c r="D8425" t="inlineStr">
        <is>
          <t>VÄSTRA GÖTALANDS LÄN</t>
        </is>
      </c>
      <c r="E8425" t="inlineStr">
        <is>
          <t>BENGTSFORS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57637-2025</t>
        </is>
      </c>
      <c r="B8426" s="1" t="n">
        <v>45981.35861111111</v>
      </c>
      <c r="C8426" s="1" t="n">
        <v>46011</v>
      </c>
      <c r="D8426" t="inlineStr">
        <is>
          <t>VÄSTRA GÖTALANDS LÄN</t>
        </is>
      </c>
      <c r="E8426" t="inlineStr">
        <is>
          <t>BENGTSFORS</t>
        </is>
      </c>
      <c r="F8426" t="inlineStr">
        <is>
          <t>Övriga Aktiebolag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12703-2025</t>
        </is>
      </c>
      <c r="B8427" s="1" t="n">
        <v>45733.46701388889</v>
      </c>
      <c r="C8427" s="1" t="n">
        <v>46011</v>
      </c>
      <c r="D8427" t="inlineStr">
        <is>
          <t>VÄSTRA GÖTALANDS LÄN</t>
        </is>
      </c>
      <c r="E8427" t="inlineStr">
        <is>
          <t>DALS-ED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57739-2025</t>
        </is>
      </c>
      <c r="B8428" s="1" t="n">
        <v>45981.5259375</v>
      </c>
      <c r="C8428" s="1" t="n">
        <v>46011</v>
      </c>
      <c r="D8428" t="inlineStr">
        <is>
          <t>VÄSTRA GÖTALANDS LÄN</t>
        </is>
      </c>
      <c r="E8428" t="inlineStr">
        <is>
          <t>MUNKEDAL</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46787-2023</t>
        </is>
      </c>
      <c r="B8429" s="1" t="n">
        <v>45198.6809375</v>
      </c>
      <c r="C8429" s="1" t="n">
        <v>46011</v>
      </c>
      <c r="D8429" t="inlineStr">
        <is>
          <t>VÄSTRA GÖTALANDS LÄN</t>
        </is>
      </c>
      <c r="E8429" t="inlineStr">
        <is>
          <t>HJO</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57768-2025</t>
        </is>
      </c>
      <c r="B8430" s="1" t="n">
        <v>45981.55913194444</v>
      </c>
      <c r="C8430" s="1" t="n">
        <v>46011</v>
      </c>
      <c r="D8430" t="inlineStr">
        <is>
          <t>VÄSTRA GÖTALANDS LÄN</t>
        </is>
      </c>
      <c r="E8430" t="inlineStr">
        <is>
          <t>DALS-ED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11879-2023</t>
        </is>
      </c>
      <c r="B8431" s="1" t="n">
        <v>44995</v>
      </c>
      <c r="C8431" s="1" t="n">
        <v>46011</v>
      </c>
      <c r="D8431" t="inlineStr">
        <is>
          <t>VÄSTRA GÖTALANDS LÄN</t>
        </is>
      </c>
      <c r="E8431" t="inlineStr">
        <is>
          <t>HERRLJUNGA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49545-2025</t>
        </is>
      </c>
      <c r="B8432" s="1" t="n">
        <v>45939.43545138889</v>
      </c>
      <c r="C8432" s="1" t="n">
        <v>46011</v>
      </c>
      <c r="D8432" t="inlineStr">
        <is>
          <t>VÄSTRA GÖTALANDS LÄN</t>
        </is>
      </c>
      <c r="E8432" t="inlineStr">
        <is>
          <t>ULRICEHAMN</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57890-2025</t>
        </is>
      </c>
      <c r="B8433" s="1" t="n">
        <v>45981.68027777778</v>
      </c>
      <c r="C8433" s="1" t="n">
        <v>46011</v>
      </c>
      <c r="D8433" t="inlineStr">
        <is>
          <t>VÄSTRA GÖTALANDS LÄN</t>
        </is>
      </c>
      <c r="E8433" t="inlineStr">
        <is>
          <t>TROLLHÄTTAN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49851-2025</t>
        </is>
      </c>
      <c r="B8434" s="1" t="n">
        <v>45940.49237268518</v>
      </c>
      <c r="C8434" s="1" t="n">
        <v>46011</v>
      </c>
      <c r="D8434" t="inlineStr">
        <is>
          <t>VÄSTRA GÖTALANDS LÄN</t>
        </is>
      </c>
      <c r="E8434" t="inlineStr">
        <is>
          <t>BENGTSFORS</t>
        </is>
      </c>
      <c r="F8434" t="inlineStr">
        <is>
          <t>Övriga Aktiebolag</t>
        </is>
      </c>
      <c r="G8434" t="n">
        <v>10.5</v>
      </c>
      <c r="H8434" t="n">
        <v>0</v>
      </c>
      <c r="I8434" t="n">
        <v>0</v>
      </c>
      <c r="J8434" t="n">
        <v>0</v>
      </c>
      <c r="K8434" t="n">
        <v>0</v>
      </c>
      <c r="L8434" t="n">
        <v>0</v>
      </c>
      <c r="M8434" t="n">
        <v>0</v>
      </c>
      <c r="N8434" t="n">
        <v>0</v>
      </c>
      <c r="O8434" t="n">
        <v>0</v>
      </c>
      <c r="P8434" t="n">
        <v>0</v>
      </c>
      <c r="Q8434" t="n">
        <v>0</v>
      </c>
      <c r="R8434" s="2" t="inlineStr"/>
    </row>
    <row r="8435" ht="15" customHeight="1">
      <c r="A8435" t="inlineStr">
        <is>
          <t>A 49853-2025</t>
        </is>
      </c>
      <c r="B8435" s="1" t="n">
        <v>45940.49908564815</v>
      </c>
      <c r="C8435" s="1" t="n">
        <v>46011</v>
      </c>
      <c r="D8435" t="inlineStr">
        <is>
          <t>VÄSTRA GÖTALANDS LÄN</t>
        </is>
      </c>
      <c r="E8435" t="inlineStr">
        <is>
          <t>BENGTSFORS</t>
        </is>
      </c>
      <c r="F8435" t="inlineStr">
        <is>
          <t>Övriga Aktiebolag</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49855-2025</t>
        </is>
      </c>
      <c r="B8436" s="1" t="n">
        <v>45940.50458333334</v>
      </c>
      <c r="C8436" s="1" t="n">
        <v>46011</v>
      </c>
      <c r="D8436" t="inlineStr">
        <is>
          <t>VÄSTRA GÖTALANDS LÄN</t>
        </is>
      </c>
      <c r="E8436" t="inlineStr">
        <is>
          <t>VÅRGÅRDA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57654-2025</t>
        </is>
      </c>
      <c r="B8437" s="1" t="n">
        <v>45981.39862268518</v>
      </c>
      <c r="C8437" s="1" t="n">
        <v>46011</v>
      </c>
      <c r="D8437" t="inlineStr">
        <is>
          <t>VÄSTRA GÖTALANDS LÄN</t>
        </is>
      </c>
      <c r="E8437" t="inlineStr">
        <is>
          <t>UDDEVALLA</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57655-2025</t>
        </is>
      </c>
      <c r="B8438" s="1" t="n">
        <v>45981.40369212963</v>
      </c>
      <c r="C8438" s="1" t="n">
        <v>46011</v>
      </c>
      <c r="D8438" t="inlineStr">
        <is>
          <t>VÄSTRA GÖTALANDS LÄN</t>
        </is>
      </c>
      <c r="E8438" t="inlineStr">
        <is>
          <t>TJÖRN</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28410-2024</t>
        </is>
      </c>
      <c r="B8439" s="1" t="n">
        <v>45477</v>
      </c>
      <c r="C8439" s="1" t="n">
        <v>46011</v>
      </c>
      <c r="D8439" t="inlineStr">
        <is>
          <t>VÄSTRA GÖTALANDS LÄN</t>
        </is>
      </c>
      <c r="E8439" t="inlineStr">
        <is>
          <t>BORÅS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28418-2024</t>
        </is>
      </c>
      <c r="B8440" s="1" t="n">
        <v>45477.62978009259</v>
      </c>
      <c r="C8440" s="1" t="n">
        <v>46011</v>
      </c>
      <c r="D8440" t="inlineStr">
        <is>
          <t>VÄSTRA GÖTALANDS LÄN</t>
        </is>
      </c>
      <c r="E8440" t="inlineStr">
        <is>
          <t>SOTENÄS</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5464-2025</t>
        </is>
      </c>
      <c r="B8441" s="1" t="n">
        <v>45693.32357638889</v>
      </c>
      <c r="C8441" s="1" t="n">
        <v>46011</v>
      </c>
      <c r="D8441" t="inlineStr">
        <is>
          <t>VÄSTRA GÖTALANDS LÄN</t>
        </is>
      </c>
      <c r="E8441" t="inlineStr">
        <is>
          <t>SKÖVDE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36075-2021</t>
        </is>
      </c>
      <c r="B8442" s="1" t="n">
        <v>44389</v>
      </c>
      <c r="C8442" s="1" t="n">
        <v>46011</v>
      </c>
      <c r="D8442" t="inlineStr">
        <is>
          <t>VÄSTRA GÖTALANDS LÄN</t>
        </is>
      </c>
      <c r="E8442" t="inlineStr">
        <is>
          <t>MELLERUD</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36076-2021</t>
        </is>
      </c>
      <c r="B8443" s="1" t="n">
        <v>44389</v>
      </c>
      <c r="C8443" s="1" t="n">
        <v>46011</v>
      </c>
      <c r="D8443" t="inlineStr">
        <is>
          <t>VÄSTRA GÖTALANDS LÄN</t>
        </is>
      </c>
      <c r="E8443" t="inlineStr">
        <is>
          <t>MELLERUD</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49814-2025</t>
        </is>
      </c>
      <c r="B8444" s="1" t="n">
        <v>45940.43130787037</v>
      </c>
      <c r="C8444" s="1" t="n">
        <v>46011</v>
      </c>
      <c r="D8444" t="inlineStr">
        <is>
          <t>VÄSTRA GÖTALANDS LÄN</t>
        </is>
      </c>
      <c r="E8444" t="inlineStr">
        <is>
          <t>MARK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41696-2021</t>
        </is>
      </c>
      <c r="B8445" s="1" t="n">
        <v>44425.5575</v>
      </c>
      <c r="C8445" s="1" t="n">
        <v>46011</v>
      </c>
      <c r="D8445" t="inlineStr">
        <is>
          <t>VÄSTRA GÖTALANDS LÄN</t>
        </is>
      </c>
      <c r="E8445" t="inlineStr">
        <is>
          <t>DALS-ED</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57754-2025</t>
        </is>
      </c>
      <c r="B8446" s="1" t="n">
        <v>45981.54357638889</v>
      </c>
      <c r="C8446" s="1" t="n">
        <v>46011</v>
      </c>
      <c r="D8446" t="inlineStr">
        <is>
          <t>VÄSTRA GÖTALANDS LÄN</t>
        </is>
      </c>
      <c r="E8446" t="inlineStr">
        <is>
          <t>BORÅS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57755-2025</t>
        </is>
      </c>
      <c r="B8447" s="1" t="n">
        <v>45981.54432870371</v>
      </c>
      <c r="C8447" s="1" t="n">
        <v>46011</v>
      </c>
      <c r="D8447" t="inlineStr">
        <is>
          <t>VÄSTRA GÖTALANDS LÄN</t>
        </is>
      </c>
      <c r="E8447" t="inlineStr">
        <is>
          <t>UDDEVALLA</t>
        </is>
      </c>
      <c r="G8447" t="n">
        <v>8.300000000000001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34551-2023</t>
        </is>
      </c>
      <c r="B8448" s="1" t="n">
        <v>45140</v>
      </c>
      <c r="C8448" s="1" t="n">
        <v>46011</v>
      </c>
      <c r="D8448" t="inlineStr">
        <is>
          <t>VÄSTRA GÖTALANDS LÄN</t>
        </is>
      </c>
      <c r="E8448" t="inlineStr">
        <is>
          <t>TRANEMO</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34653-2023</t>
        </is>
      </c>
      <c r="B8449" s="1" t="n">
        <v>45140</v>
      </c>
      <c r="C8449" s="1" t="n">
        <v>46011</v>
      </c>
      <c r="D8449" t="inlineStr">
        <is>
          <t>VÄSTRA GÖTALANDS LÄN</t>
        </is>
      </c>
      <c r="E8449" t="inlineStr">
        <is>
          <t>MARK</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49909-2025</t>
        </is>
      </c>
      <c r="B8450" s="1" t="n">
        <v>45940.60710648148</v>
      </c>
      <c r="C8450" s="1" t="n">
        <v>46011</v>
      </c>
      <c r="D8450" t="inlineStr">
        <is>
          <t>VÄSTRA GÖTALANDS LÄN</t>
        </is>
      </c>
      <c r="E8450" t="inlineStr">
        <is>
          <t>LIDKÖPING</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17042-2025</t>
        </is>
      </c>
      <c r="B8451" s="1" t="n">
        <v>45755.58724537037</v>
      </c>
      <c r="C8451" s="1" t="n">
        <v>46011</v>
      </c>
      <c r="D8451" t="inlineStr">
        <is>
          <t>VÄSTRA GÖTALANDS LÄN</t>
        </is>
      </c>
      <c r="E8451" t="inlineStr">
        <is>
          <t>TRANEMO</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17044-2025</t>
        </is>
      </c>
      <c r="B8452" s="1" t="n">
        <v>45755.58891203703</v>
      </c>
      <c r="C8452" s="1" t="n">
        <v>46011</v>
      </c>
      <c r="D8452" t="inlineStr">
        <is>
          <t>VÄSTRA GÖTALANDS LÄN</t>
        </is>
      </c>
      <c r="E8452" t="inlineStr">
        <is>
          <t>ALE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17055-2025</t>
        </is>
      </c>
      <c r="B8453" s="1" t="n">
        <v>45755.60289351852</v>
      </c>
      <c r="C8453" s="1" t="n">
        <v>46011</v>
      </c>
      <c r="D8453" t="inlineStr">
        <is>
          <t>VÄSTRA GÖTALANDS LÄN</t>
        </is>
      </c>
      <c r="E8453" t="inlineStr">
        <is>
          <t>FALKÖPING</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57885-2025</t>
        </is>
      </c>
      <c r="B8454" s="1" t="n">
        <v>45981.67099537037</v>
      </c>
      <c r="C8454" s="1" t="n">
        <v>46011</v>
      </c>
      <c r="D8454" t="inlineStr">
        <is>
          <t>VÄSTRA GÖTALANDS LÄN</t>
        </is>
      </c>
      <c r="E8454" t="inlineStr">
        <is>
          <t>BENGTSFORS</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17064-2025</t>
        </is>
      </c>
      <c r="B8455" s="1" t="n">
        <v>45755.61197916666</v>
      </c>
      <c r="C8455" s="1" t="n">
        <v>46011</v>
      </c>
      <c r="D8455" t="inlineStr">
        <is>
          <t>VÄSTRA GÖTALANDS LÄN</t>
        </is>
      </c>
      <c r="E8455" t="inlineStr">
        <is>
          <t>MELLERUD</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57912-2025</t>
        </is>
      </c>
      <c r="B8456" s="1" t="n">
        <v>45972</v>
      </c>
      <c r="C8456" s="1" t="n">
        <v>46011</v>
      </c>
      <c r="D8456" t="inlineStr">
        <is>
          <t>VÄSTRA GÖTALANDS LÄN</t>
        </is>
      </c>
      <c r="E8456" t="inlineStr">
        <is>
          <t>ALINGSÅS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43402-2023</t>
        </is>
      </c>
      <c r="B8457" s="1" t="n">
        <v>45183</v>
      </c>
      <c r="C8457" s="1" t="n">
        <v>46011</v>
      </c>
      <c r="D8457" t="inlineStr">
        <is>
          <t>VÄSTRA GÖTALANDS LÄN</t>
        </is>
      </c>
      <c r="E8457" t="inlineStr">
        <is>
          <t>MARK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19308-2025</t>
        </is>
      </c>
      <c r="B8458" s="1" t="n">
        <v>45769.56891203704</v>
      </c>
      <c r="C8458" s="1" t="n">
        <v>46011</v>
      </c>
      <c r="D8458" t="inlineStr">
        <is>
          <t>VÄSTRA GÖTALANDS LÄN</t>
        </is>
      </c>
      <c r="E8458" t="inlineStr">
        <is>
          <t>VÅRGÅRDA</t>
        </is>
      </c>
      <c r="F8458" t="inlineStr">
        <is>
          <t>Kommuner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38592-2025</t>
        </is>
      </c>
      <c r="B8459" s="1" t="n">
        <v>45884.48247685185</v>
      </c>
      <c r="C8459" s="1" t="n">
        <v>46011</v>
      </c>
      <c r="D8459" t="inlineStr">
        <is>
          <t>VÄSTRA GÖTALANDS LÄN</t>
        </is>
      </c>
      <c r="E8459" t="inlineStr">
        <is>
          <t>MUNKEDAL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49952-2025</t>
        </is>
      </c>
      <c r="B8460" s="1" t="n">
        <v>45940</v>
      </c>
      <c r="C8460" s="1" t="n">
        <v>46011</v>
      </c>
      <c r="D8460" t="inlineStr">
        <is>
          <t>VÄSTRA GÖTALANDS LÄN</t>
        </is>
      </c>
      <c r="E8460" t="inlineStr">
        <is>
          <t>BENGTSFORS</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49547-2025</t>
        </is>
      </c>
      <c r="B8461" s="1" t="n">
        <v>45939.4374537037</v>
      </c>
      <c r="C8461" s="1" t="n">
        <v>46011</v>
      </c>
      <c r="D8461" t="inlineStr">
        <is>
          <t>VÄSTRA GÖTALANDS LÄN</t>
        </is>
      </c>
      <c r="E8461" t="inlineStr">
        <is>
          <t>ULRICEHAMN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49621-2025</t>
        </is>
      </c>
      <c r="B8462" s="1" t="n">
        <v>45939.59266203704</v>
      </c>
      <c r="C8462" s="1" t="n">
        <v>46011</v>
      </c>
      <c r="D8462" t="inlineStr">
        <is>
          <t>VÄSTRA GÖTALANDS LÄN</t>
        </is>
      </c>
      <c r="E8462" t="inlineStr">
        <is>
          <t>STENUNGSUND</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38659-2025</t>
        </is>
      </c>
      <c r="B8463" s="1" t="n">
        <v>45884</v>
      </c>
      <c r="C8463" s="1" t="n">
        <v>46011</v>
      </c>
      <c r="D8463" t="inlineStr">
        <is>
          <t>VÄSTRA GÖTALANDS LÄN</t>
        </is>
      </c>
      <c r="E8463" t="inlineStr">
        <is>
          <t>TIDAHOLM</t>
        </is>
      </c>
      <c r="F8463" t="inlineStr">
        <is>
          <t>Kyrkan</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14813-2023</t>
        </is>
      </c>
      <c r="B8464" s="1" t="n">
        <v>45014.64974537037</v>
      </c>
      <c r="C8464" s="1" t="n">
        <v>46011</v>
      </c>
      <c r="D8464" t="inlineStr">
        <is>
          <t>VÄSTRA GÖTALANDS LÄN</t>
        </is>
      </c>
      <c r="E8464" t="inlineStr">
        <is>
          <t>FÄRGELANDA</t>
        </is>
      </c>
      <c r="F8464" t="inlineStr">
        <is>
          <t>Kommuner</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38653-2025</t>
        </is>
      </c>
      <c r="B8465" s="1" t="n">
        <v>45884.59535879629</v>
      </c>
      <c r="C8465" s="1" t="n">
        <v>46011</v>
      </c>
      <c r="D8465" t="inlineStr">
        <is>
          <t>VÄSTRA GÖTALANDS LÄN</t>
        </is>
      </c>
      <c r="E8465" t="inlineStr">
        <is>
          <t>MELLERUD</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38663-2025</t>
        </is>
      </c>
      <c r="B8466" s="1" t="n">
        <v>45884.6134375</v>
      </c>
      <c r="C8466" s="1" t="n">
        <v>46011</v>
      </c>
      <c r="D8466" t="inlineStr">
        <is>
          <t>VÄSTRA GÖTALANDS LÄN</t>
        </is>
      </c>
      <c r="E8466" t="inlineStr">
        <is>
          <t>MELLERUD</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38691-2025</t>
        </is>
      </c>
      <c r="B8467" s="1" t="n">
        <v>45884.67460648148</v>
      </c>
      <c r="C8467" s="1" t="n">
        <v>46011</v>
      </c>
      <c r="D8467" t="inlineStr">
        <is>
          <t>VÄSTRA GÖTALANDS LÄN</t>
        </is>
      </c>
      <c r="E8467" t="inlineStr">
        <is>
          <t>MARK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7288-2023</t>
        </is>
      </c>
      <c r="B8468" s="1" t="n">
        <v>44970.70373842592</v>
      </c>
      <c r="C8468" s="1" t="n">
        <v>46011</v>
      </c>
      <c r="D8468" t="inlineStr">
        <is>
          <t>VÄSTRA GÖTALANDS LÄN</t>
        </is>
      </c>
      <c r="E8468" t="inlineStr">
        <is>
          <t>SVENLJUNGA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50432-2025</t>
        </is>
      </c>
      <c r="B8469" s="1" t="n">
        <v>45944.69248842593</v>
      </c>
      <c r="C8469" s="1" t="n">
        <v>46011</v>
      </c>
      <c r="D8469" t="inlineStr">
        <is>
          <t>VÄSTRA GÖTALANDS LÄN</t>
        </is>
      </c>
      <c r="E8469" t="inlineStr">
        <is>
          <t>STRÖMSTAD</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18842-2021</t>
        </is>
      </c>
      <c r="B8470" s="1" t="n">
        <v>44307</v>
      </c>
      <c r="C8470" s="1" t="n">
        <v>46011</v>
      </c>
      <c r="D8470" t="inlineStr">
        <is>
          <t>VÄSTRA GÖTALANDS LÄN</t>
        </is>
      </c>
      <c r="E8470" t="inlineStr">
        <is>
          <t>VARA</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52321-2023</t>
        </is>
      </c>
      <c r="B8471" s="1" t="n">
        <v>45224.64361111111</v>
      </c>
      <c r="C8471" s="1" t="n">
        <v>46011</v>
      </c>
      <c r="D8471" t="inlineStr">
        <is>
          <t>VÄSTRA GÖTALANDS LÄN</t>
        </is>
      </c>
      <c r="E8471" t="inlineStr">
        <is>
          <t>ÅMÅL</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58224-2025</t>
        </is>
      </c>
      <c r="B8472" s="1" t="n">
        <v>45985.36587962963</v>
      </c>
      <c r="C8472" s="1" t="n">
        <v>46011</v>
      </c>
      <c r="D8472" t="inlineStr">
        <is>
          <t>VÄSTRA GÖTALANDS LÄN</t>
        </is>
      </c>
      <c r="E8472" t="inlineStr">
        <is>
          <t>HERRLJUNGA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58251-2025</t>
        </is>
      </c>
      <c r="B8473" s="1" t="n">
        <v>45985.39645833334</v>
      </c>
      <c r="C8473" s="1" t="n">
        <v>46011</v>
      </c>
      <c r="D8473" t="inlineStr">
        <is>
          <t>VÄSTRA GÖTALANDS LÄN</t>
        </is>
      </c>
      <c r="E8473" t="inlineStr">
        <is>
          <t>STRÖMSTAD</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58800-2025</t>
        </is>
      </c>
      <c r="B8474" s="1" t="n">
        <v>45986.84456018519</v>
      </c>
      <c r="C8474" s="1" t="n">
        <v>46011</v>
      </c>
      <c r="D8474" t="inlineStr">
        <is>
          <t>VÄSTRA GÖTALANDS LÄN</t>
        </is>
      </c>
      <c r="E8474" t="inlineStr">
        <is>
          <t>HERRLJUNGA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58568-2025</t>
        </is>
      </c>
      <c r="B8475" s="1" t="n">
        <v>45986.36644675926</v>
      </c>
      <c r="C8475" s="1" t="n">
        <v>46011</v>
      </c>
      <c r="D8475" t="inlineStr">
        <is>
          <t>VÄSTRA GÖTALANDS LÄN</t>
        </is>
      </c>
      <c r="E8475" t="inlineStr">
        <is>
          <t>LILLA EDET</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40065-2021</t>
        </is>
      </c>
      <c r="B8476" s="1" t="n">
        <v>44418</v>
      </c>
      <c r="C8476" s="1" t="n">
        <v>46011</v>
      </c>
      <c r="D8476" t="inlineStr">
        <is>
          <t>VÄSTRA GÖTALANDS LÄN</t>
        </is>
      </c>
      <c r="E8476" t="inlineStr">
        <is>
          <t>FALKÖPING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40145-2021</t>
        </is>
      </c>
      <c r="B8477" s="1" t="n">
        <v>44418</v>
      </c>
      <c r="C8477" s="1" t="n">
        <v>46011</v>
      </c>
      <c r="D8477" t="inlineStr">
        <is>
          <t>VÄSTRA GÖTALANDS LÄN</t>
        </is>
      </c>
      <c r="E8477" t="inlineStr">
        <is>
          <t>TANUM</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8704-2022</t>
        </is>
      </c>
      <c r="B8478" s="1" t="n">
        <v>44613.74009259259</v>
      </c>
      <c r="C8478" s="1" t="n">
        <v>46011</v>
      </c>
      <c r="D8478" t="inlineStr">
        <is>
          <t>VÄSTRA GÖTALANDS LÄN</t>
        </is>
      </c>
      <c r="E8478" t="inlineStr">
        <is>
          <t>SVENLJUNGA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48411-2022</t>
        </is>
      </c>
      <c r="B8479" s="1" t="n">
        <v>44858</v>
      </c>
      <c r="C8479" s="1" t="n">
        <v>46011</v>
      </c>
      <c r="D8479" t="inlineStr">
        <is>
          <t>VÄSTRA GÖTALANDS LÄN</t>
        </is>
      </c>
      <c r="E8479" t="inlineStr">
        <is>
          <t>LIDKÖPING</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50175-2025</t>
        </is>
      </c>
      <c r="B8480" s="1" t="n">
        <v>45943.60738425926</v>
      </c>
      <c r="C8480" s="1" t="n">
        <v>46011</v>
      </c>
      <c r="D8480" t="inlineStr">
        <is>
          <t>VÄSTRA GÖTALANDS LÄN</t>
        </is>
      </c>
      <c r="E8480" t="inlineStr">
        <is>
          <t>BENGTSFORS</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40161-2021</t>
        </is>
      </c>
      <c r="B8481" s="1" t="n">
        <v>44418</v>
      </c>
      <c r="C8481" s="1" t="n">
        <v>46011</v>
      </c>
      <c r="D8481" t="inlineStr">
        <is>
          <t>VÄSTRA GÖTALANDS LÄN</t>
        </is>
      </c>
      <c r="E8481" t="inlineStr">
        <is>
          <t>ÅMÅL</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58468-2025</t>
        </is>
      </c>
      <c r="B8482" s="1" t="n">
        <v>45985.63699074074</v>
      </c>
      <c r="C8482" s="1" t="n">
        <v>46011</v>
      </c>
      <c r="D8482" t="inlineStr">
        <is>
          <t>VÄSTRA GÖTALANDS LÄN</t>
        </is>
      </c>
      <c r="E8482" t="inlineStr">
        <is>
          <t>TANUM</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33745-2023</t>
        </is>
      </c>
      <c r="B8483" s="1" t="n">
        <v>45133.39075231482</v>
      </c>
      <c r="C8483" s="1" t="n">
        <v>46011</v>
      </c>
      <c r="D8483" t="inlineStr">
        <is>
          <t>VÄSTRA GÖTALANDS LÄN</t>
        </is>
      </c>
      <c r="E8483" t="inlineStr">
        <is>
          <t>STRÖMSTAD</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33762-2023</t>
        </is>
      </c>
      <c r="B8484" s="1" t="n">
        <v>45120</v>
      </c>
      <c r="C8484" s="1" t="n">
        <v>46011</v>
      </c>
      <c r="D8484" t="inlineStr">
        <is>
          <t>VÄSTRA GÖTALANDS LÄN</t>
        </is>
      </c>
      <c r="E8484" t="inlineStr">
        <is>
          <t>SVENLJUNGA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38667-2025</t>
        </is>
      </c>
      <c r="B8485" s="1" t="n">
        <v>45884.61957175926</v>
      </c>
      <c r="C8485" s="1" t="n">
        <v>46011</v>
      </c>
      <c r="D8485" t="inlineStr">
        <is>
          <t>VÄSTRA GÖTALANDS LÄN</t>
        </is>
      </c>
      <c r="E8485" t="inlineStr">
        <is>
          <t>MELLERUD</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6841-2025</t>
        </is>
      </c>
      <c r="B8486" s="1" t="n">
        <v>45700.84496527778</v>
      </c>
      <c r="C8486" s="1" t="n">
        <v>46011</v>
      </c>
      <c r="D8486" t="inlineStr">
        <is>
          <t>VÄSTRA GÖTALANDS LÄN</t>
        </is>
      </c>
      <c r="E8486" t="inlineStr">
        <is>
          <t>ALINGSÅS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6863-2025</t>
        </is>
      </c>
      <c r="B8487" s="1" t="n">
        <v>45701.31409722222</v>
      </c>
      <c r="C8487" s="1" t="n">
        <v>46011</v>
      </c>
      <c r="D8487" t="inlineStr">
        <is>
          <t>VÄSTRA GÖTALANDS LÄN</t>
        </is>
      </c>
      <c r="E8487" t="inlineStr">
        <is>
          <t>SVENLJUNGA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50042-2025</t>
        </is>
      </c>
      <c r="B8488" s="1" t="n">
        <v>45943.40510416667</v>
      </c>
      <c r="C8488" s="1" t="n">
        <v>46011</v>
      </c>
      <c r="D8488" t="inlineStr">
        <is>
          <t>VÄSTRA GÖTALANDS LÄN</t>
        </is>
      </c>
      <c r="E8488" t="inlineStr">
        <is>
          <t>BENGTSFORS</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50057-2025</t>
        </is>
      </c>
      <c r="B8489" s="1" t="n">
        <v>45942</v>
      </c>
      <c r="C8489" s="1" t="n">
        <v>46011</v>
      </c>
      <c r="D8489" t="inlineStr">
        <is>
          <t>VÄSTRA GÖTALANDS LÄN</t>
        </is>
      </c>
      <c r="E8489" t="inlineStr">
        <is>
          <t>STRÖMSTAD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50093-2025</t>
        </is>
      </c>
      <c r="B8490" s="1" t="n">
        <v>45943.49165509259</v>
      </c>
      <c r="C8490" s="1" t="n">
        <v>46011</v>
      </c>
      <c r="D8490" t="inlineStr">
        <is>
          <t>VÄSTRA GÖTALANDS LÄN</t>
        </is>
      </c>
      <c r="E8490" t="inlineStr">
        <is>
          <t>HJO</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25657-2021</t>
        </is>
      </c>
      <c r="B8491" s="1" t="n">
        <v>44343.55598379629</v>
      </c>
      <c r="C8491" s="1" t="n">
        <v>46011</v>
      </c>
      <c r="D8491" t="inlineStr">
        <is>
          <t>VÄSTRA GÖTALANDS LÄN</t>
        </is>
      </c>
      <c r="E8491" t="inlineStr">
        <is>
          <t>LYSEKIL</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25733-2021</t>
        </is>
      </c>
      <c r="B8492" s="1" t="n">
        <v>44343</v>
      </c>
      <c r="C8492" s="1" t="n">
        <v>46011</v>
      </c>
      <c r="D8492" t="inlineStr">
        <is>
          <t>VÄSTRA GÖTALANDS LÄN</t>
        </is>
      </c>
      <c r="E8492" t="inlineStr">
        <is>
          <t>TÖREBODA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56584-2025</t>
        </is>
      </c>
      <c r="B8493" s="1" t="n">
        <v>45974</v>
      </c>
      <c r="C8493" s="1" t="n">
        <v>46011</v>
      </c>
      <c r="D8493" t="inlineStr">
        <is>
          <t>VÄSTRA GÖTALANDS LÄN</t>
        </is>
      </c>
      <c r="E8493" t="inlineStr">
        <is>
          <t>LILLA EDET</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58250-2025</t>
        </is>
      </c>
      <c r="B8494" s="1" t="n">
        <v>45985.39474537037</v>
      </c>
      <c r="C8494" s="1" t="n">
        <v>46011</v>
      </c>
      <c r="D8494" t="inlineStr">
        <is>
          <t>VÄSTRA GÖTALANDS LÄN</t>
        </is>
      </c>
      <c r="E8494" t="inlineStr">
        <is>
          <t>ULRICEHAMN</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13965-2025</t>
        </is>
      </c>
      <c r="B8495" s="1" t="n">
        <v>45738.35376157407</v>
      </c>
      <c r="C8495" s="1" t="n">
        <v>46011</v>
      </c>
      <c r="D8495" t="inlineStr">
        <is>
          <t>VÄSTRA GÖTALANDS LÄN</t>
        </is>
      </c>
      <c r="E8495" t="inlineStr">
        <is>
          <t>SVENLJUNGA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52486-2023</t>
        </is>
      </c>
      <c r="B8496" s="1" t="n">
        <v>45225.44538194445</v>
      </c>
      <c r="C8496" s="1" t="n">
        <v>46011</v>
      </c>
      <c r="D8496" t="inlineStr">
        <is>
          <t>VÄSTRA GÖTALANDS LÄN</t>
        </is>
      </c>
      <c r="E8496" t="inlineStr">
        <is>
          <t>BORÅS</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36194-2024</t>
        </is>
      </c>
      <c r="B8497" s="1" t="n">
        <v>45534</v>
      </c>
      <c r="C8497" s="1" t="n">
        <v>46011</v>
      </c>
      <c r="D8497" t="inlineStr">
        <is>
          <t>VÄSTRA GÖTALANDS LÄN</t>
        </is>
      </c>
      <c r="E8497" t="inlineStr">
        <is>
          <t>TIDAHOLM</t>
        </is>
      </c>
      <c r="F8497" t="inlineStr">
        <is>
          <t>Allmännings- och besparingsskogar</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58290-2025</t>
        </is>
      </c>
      <c r="B8498" s="1" t="n">
        <v>45985.44790509259</v>
      </c>
      <c r="C8498" s="1" t="n">
        <v>46011</v>
      </c>
      <c r="D8498" t="inlineStr">
        <is>
          <t>VÄSTRA GÖTALANDS LÄN</t>
        </is>
      </c>
      <c r="E8498" t="inlineStr">
        <is>
          <t>SVENLJUNGA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58302-2025</t>
        </is>
      </c>
      <c r="B8499" s="1" t="n">
        <v>45982</v>
      </c>
      <c r="C8499" s="1" t="n">
        <v>46011</v>
      </c>
      <c r="D8499" t="inlineStr">
        <is>
          <t>VÄSTRA GÖTALANDS LÄN</t>
        </is>
      </c>
      <c r="E8499" t="inlineStr">
        <is>
          <t>BORÅS</t>
        </is>
      </c>
      <c r="F8499" t="inlineStr">
        <is>
          <t>Kommuner</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7411-2025</t>
        </is>
      </c>
      <c r="B8500" s="1" t="n">
        <v>45705.36880787037</v>
      </c>
      <c r="C8500" s="1" t="n">
        <v>46011</v>
      </c>
      <c r="D8500" t="inlineStr">
        <is>
          <t>VÄSTRA GÖTALANDS LÄN</t>
        </is>
      </c>
      <c r="E8500" t="inlineStr">
        <is>
          <t>HERRLJUNGA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7431-2025</t>
        </is>
      </c>
      <c r="B8501" s="1" t="n">
        <v>45705.38988425926</v>
      </c>
      <c r="C8501" s="1" t="n">
        <v>46011</v>
      </c>
      <c r="D8501" t="inlineStr">
        <is>
          <t>VÄSTRA GÖTALANDS LÄN</t>
        </is>
      </c>
      <c r="E8501" t="inlineStr">
        <is>
          <t>HERRLJUNGA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7450-2025</t>
        </is>
      </c>
      <c r="B8502" s="1" t="n">
        <v>45705.4209837963</v>
      </c>
      <c r="C8502" s="1" t="n">
        <v>46011</v>
      </c>
      <c r="D8502" t="inlineStr">
        <is>
          <t>VÄSTRA GÖTALANDS LÄN</t>
        </is>
      </c>
      <c r="E8502" t="inlineStr">
        <is>
          <t>MARIESTAD</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50205-2025</t>
        </is>
      </c>
      <c r="B8503" s="1" t="n">
        <v>45943.65840277778</v>
      </c>
      <c r="C8503" s="1" t="n">
        <v>46011</v>
      </c>
      <c r="D8503" t="inlineStr">
        <is>
          <t>VÄSTRA GÖTALANDS LÄN</t>
        </is>
      </c>
      <c r="E8503" t="inlineStr">
        <is>
          <t>STENUNGSUND</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49996-2025</t>
        </is>
      </c>
      <c r="B8504" s="1" t="n">
        <v>45943.08944444444</v>
      </c>
      <c r="C8504" s="1" t="n">
        <v>46011</v>
      </c>
      <c r="D8504" t="inlineStr">
        <is>
          <t>VÄSTRA GÖTALANDS LÄN</t>
        </is>
      </c>
      <c r="E8504" t="inlineStr">
        <is>
          <t>LIDKÖPING</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49997-2025</t>
        </is>
      </c>
      <c r="B8505" s="1" t="n">
        <v>45943.09143518518</v>
      </c>
      <c r="C8505" s="1" t="n">
        <v>46011</v>
      </c>
      <c r="D8505" t="inlineStr">
        <is>
          <t>VÄSTRA GÖTALANDS LÄN</t>
        </is>
      </c>
      <c r="E8505" t="inlineStr">
        <is>
          <t>LIDKÖPING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58628-2025</t>
        </is>
      </c>
      <c r="B8506" s="1" t="n">
        <v>45986.48127314815</v>
      </c>
      <c r="C8506" s="1" t="n">
        <v>46011</v>
      </c>
      <c r="D8506" t="inlineStr">
        <is>
          <t>VÄSTRA GÖTALANDS LÄN</t>
        </is>
      </c>
      <c r="E8506" t="inlineStr">
        <is>
          <t>ÅMÅL</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10682-2025</t>
        </is>
      </c>
      <c r="B8507" s="1" t="n">
        <v>45721.92153935185</v>
      </c>
      <c r="C8507" s="1" t="n">
        <v>46011</v>
      </c>
      <c r="D8507" t="inlineStr">
        <is>
          <t>VÄSTRA GÖTALANDS LÄN</t>
        </is>
      </c>
      <c r="E8507" t="inlineStr">
        <is>
          <t>TRANEMO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55604-2023</t>
        </is>
      </c>
      <c r="B8508" s="1" t="n">
        <v>45238.70208333333</v>
      </c>
      <c r="C8508" s="1" t="n">
        <v>46011</v>
      </c>
      <c r="D8508" t="inlineStr">
        <is>
          <t>VÄSTRA GÖTALANDS LÄN</t>
        </is>
      </c>
      <c r="E8508" t="inlineStr">
        <is>
          <t>MARK</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38601-2025</t>
        </is>
      </c>
      <c r="B8509" s="1" t="n">
        <v>45884.50131944445</v>
      </c>
      <c r="C8509" s="1" t="n">
        <v>46011</v>
      </c>
      <c r="D8509" t="inlineStr">
        <is>
          <t>VÄSTRA GÖTALANDS LÄN</t>
        </is>
      </c>
      <c r="E8509" t="inlineStr">
        <is>
          <t>DALS-ED</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58276-2025</t>
        </is>
      </c>
      <c r="B8510" s="1" t="n">
        <v>45985.43508101852</v>
      </c>
      <c r="C8510" s="1" t="n">
        <v>46011</v>
      </c>
      <c r="D8510" t="inlineStr">
        <is>
          <t>VÄSTRA GÖTALANDS LÄN</t>
        </is>
      </c>
      <c r="E8510" t="inlineStr">
        <is>
          <t>TIDAHOLM</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58226-2025</t>
        </is>
      </c>
      <c r="B8511" s="1" t="n">
        <v>45985.37508101852</v>
      </c>
      <c r="C8511" s="1" t="n">
        <v>46011</v>
      </c>
      <c r="D8511" t="inlineStr">
        <is>
          <t>VÄSTRA GÖTALANDS LÄN</t>
        </is>
      </c>
      <c r="E8511" t="inlineStr">
        <is>
          <t>STRÖMSTAD</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58228-2025</t>
        </is>
      </c>
      <c r="B8512" s="1" t="n">
        <v>45985.37597222222</v>
      </c>
      <c r="C8512" s="1" t="n">
        <v>46011</v>
      </c>
      <c r="D8512" t="inlineStr">
        <is>
          <t>VÄSTRA GÖTALANDS LÄN</t>
        </is>
      </c>
      <c r="E8512" t="inlineStr">
        <is>
          <t>TANUM</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50222-2025</t>
        </is>
      </c>
      <c r="B8513" s="1" t="n">
        <v>45943.6872337963</v>
      </c>
      <c r="C8513" s="1" t="n">
        <v>46011</v>
      </c>
      <c r="D8513" t="inlineStr">
        <is>
          <t>VÄSTRA GÖTALANDS LÄN</t>
        </is>
      </c>
      <c r="E8513" t="inlineStr">
        <is>
          <t>MARK</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58452-2025</t>
        </is>
      </c>
      <c r="B8514" s="1" t="n">
        <v>45985.62841435185</v>
      </c>
      <c r="C8514" s="1" t="n">
        <v>46011</v>
      </c>
      <c r="D8514" t="inlineStr">
        <is>
          <t>VÄSTRA GÖTALANDS LÄN</t>
        </is>
      </c>
      <c r="E8514" t="inlineStr">
        <is>
          <t>BORÅS</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58563-2025</t>
        </is>
      </c>
      <c r="B8515" s="1" t="n">
        <v>45986.35770833334</v>
      </c>
      <c r="C8515" s="1" t="n">
        <v>46011</v>
      </c>
      <c r="D8515" t="inlineStr">
        <is>
          <t>VÄSTRA GÖTALANDS LÄN</t>
        </is>
      </c>
      <c r="E8515" t="inlineStr">
        <is>
          <t>UDDEVALLA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50161-2025</t>
        </is>
      </c>
      <c r="B8516" s="1" t="n">
        <v>45943.5865162037</v>
      </c>
      <c r="C8516" s="1" t="n">
        <v>46011</v>
      </c>
      <c r="D8516" t="inlineStr">
        <is>
          <t>VÄSTRA GÖTALANDS LÄN</t>
        </is>
      </c>
      <c r="E8516" t="inlineStr">
        <is>
          <t>TANUM</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2271-2024</t>
        </is>
      </c>
      <c r="B8517" s="1" t="n">
        <v>45310.35899305555</v>
      </c>
      <c r="C8517" s="1" t="n">
        <v>46011</v>
      </c>
      <c r="D8517" t="inlineStr">
        <is>
          <t>VÄSTRA GÖTALANDS LÄN</t>
        </is>
      </c>
      <c r="E8517" t="inlineStr">
        <is>
          <t>HERRLJUNGA</t>
        </is>
      </c>
      <c r="F8517" t="inlineStr">
        <is>
          <t>Sveaskog</t>
        </is>
      </c>
      <c r="G8517" t="n">
        <v>12.6</v>
      </c>
      <c r="H8517" t="n">
        <v>0</v>
      </c>
      <c r="I8517" t="n">
        <v>0</v>
      </c>
      <c r="J8517" t="n">
        <v>0</v>
      </c>
      <c r="K8517" t="n">
        <v>0</v>
      </c>
      <c r="L8517" t="n">
        <v>0</v>
      </c>
      <c r="M8517" t="n">
        <v>0</v>
      </c>
      <c r="N8517" t="n">
        <v>0</v>
      </c>
      <c r="O8517" t="n">
        <v>0</v>
      </c>
      <c r="P8517" t="n">
        <v>0</v>
      </c>
      <c r="Q8517" t="n">
        <v>0</v>
      </c>
      <c r="R8517" s="2" t="inlineStr"/>
    </row>
    <row r="8518" ht="15" customHeight="1">
      <c r="A8518" t="inlineStr">
        <is>
          <t>A 48623-2025</t>
        </is>
      </c>
      <c r="B8518" s="1" t="n">
        <v>45936.50234953704</v>
      </c>
      <c r="C8518" s="1" t="n">
        <v>46011</v>
      </c>
      <c r="D8518" t="inlineStr">
        <is>
          <t>VÄSTRA GÖTALANDS LÄN</t>
        </is>
      </c>
      <c r="E8518" t="inlineStr">
        <is>
          <t>TRANEMO</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40370-2025</t>
        </is>
      </c>
      <c r="B8519" s="1" t="n">
        <v>45895.51177083333</v>
      </c>
      <c r="C8519" s="1" t="n">
        <v>46011</v>
      </c>
      <c r="D8519" t="inlineStr">
        <is>
          <t>VÄSTRA GÖTALANDS LÄN</t>
        </is>
      </c>
      <c r="E8519" t="inlineStr">
        <is>
          <t>SVENLJUNGA</t>
        </is>
      </c>
      <c r="F8519" t="inlineStr">
        <is>
          <t>Kyrkan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49500-2025</t>
        </is>
      </c>
      <c r="B8520" s="1" t="n">
        <v>45939</v>
      </c>
      <c r="C8520" s="1" t="n">
        <v>46011</v>
      </c>
      <c r="D8520" t="inlineStr">
        <is>
          <t>VÄSTRA GÖTALANDS LÄN</t>
        </is>
      </c>
      <c r="E8520" t="inlineStr">
        <is>
          <t>ÅMÅL</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58339-2025</t>
        </is>
      </c>
      <c r="B8521" s="1" t="n">
        <v>45985.49490740741</v>
      </c>
      <c r="C8521" s="1" t="n">
        <v>46011</v>
      </c>
      <c r="D8521" t="inlineStr">
        <is>
          <t>VÄSTRA GÖTALANDS LÄN</t>
        </is>
      </c>
      <c r="E8521" t="inlineStr">
        <is>
          <t>BORÅS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41108-2025</t>
        </is>
      </c>
      <c r="B8522" s="1" t="n">
        <v>45898.45915509259</v>
      </c>
      <c r="C8522" s="1" t="n">
        <v>46011</v>
      </c>
      <c r="D8522" t="inlineStr">
        <is>
          <t>VÄSTRA GÖTALANDS LÄN</t>
        </is>
      </c>
      <c r="E8522" t="inlineStr">
        <is>
          <t>ULRICEHAMN</t>
        </is>
      </c>
      <c r="F8522" t="inlineStr">
        <is>
          <t>Sveaskog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50111-2025</t>
        </is>
      </c>
      <c r="B8523" s="1" t="n">
        <v>45943.54265046296</v>
      </c>
      <c r="C8523" s="1" t="n">
        <v>46011</v>
      </c>
      <c r="D8523" t="inlineStr">
        <is>
          <t>VÄSTRA GÖTALANDS LÄN</t>
        </is>
      </c>
      <c r="E8523" t="inlineStr">
        <is>
          <t>BENGTSFORS</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50123-2025</t>
        </is>
      </c>
      <c r="B8524" s="1" t="n">
        <v>45943.55126157407</v>
      </c>
      <c r="C8524" s="1" t="n">
        <v>46011</v>
      </c>
      <c r="D8524" t="inlineStr">
        <is>
          <t>VÄSTRA GÖTALANDS LÄN</t>
        </is>
      </c>
      <c r="E8524" t="inlineStr">
        <is>
          <t>VARA</t>
        </is>
      </c>
      <c r="F8524" t="inlineStr">
        <is>
          <t>Kyrkan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58707-2025</t>
        </is>
      </c>
      <c r="B8525" s="1" t="n">
        <v>45986.60277777778</v>
      </c>
      <c r="C8525" s="1" t="n">
        <v>46011</v>
      </c>
      <c r="D8525" t="inlineStr">
        <is>
          <t>VÄSTRA GÖTALANDS LÄN</t>
        </is>
      </c>
      <c r="E8525" t="inlineStr">
        <is>
          <t>ÅMÅL</t>
        </is>
      </c>
      <c r="F8525" t="inlineStr">
        <is>
          <t>Kyrkan</t>
        </is>
      </c>
      <c r="G8525" t="n">
        <v>11.2</v>
      </c>
      <c r="H8525" t="n">
        <v>0</v>
      </c>
      <c r="I8525" t="n">
        <v>0</v>
      </c>
      <c r="J8525" t="n">
        <v>0</v>
      </c>
      <c r="K8525" t="n">
        <v>0</v>
      </c>
      <c r="L8525" t="n">
        <v>0</v>
      </c>
      <c r="M8525" t="n">
        <v>0</v>
      </c>
      <c r="N8525" t="n">
        <v>0</v>
      </c>
      <c r="O8525" t="n">
        <v>0</v>
      </c>
      <c r="P8525" t="n">
        <v>0</v>
      </c>
      <c r="Q8525" t="n">
        <v>0</v>
      </c>
      <c r="R8525" s="2" t="inlineStr"/>
    </row>
    <row r="8526" ht="15" customHeight="1">
      <c r="A8526" t="inlineStr">
        <is>
          <t>A 58687-2025</t>
        </is>
      </c>
      <c r="B8526" s="1" t="n">
        <v>45986.57347222222</v>
      </c>
      <c r="C8526" s="1" t="n">
        <v>46011</v>
      </c>
      <c r="D8526" t="inlineStr">
        <is>
          <t>VÄSTRA GÖTALANDS LÄN</t>
        </is>
      </c>
      <c r="E8526" t="inlineStr">
        <is>
          <t>FALKÖPING</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58303-2025</t>
        </is>
      </c>
      <c r="B8527" s="1" t="n">
        <v>45982</v>
      </c>
      <c r="C8527" s="1" t="n">
        <v>46011</v>
      </c>
      <c r="D8527" t="inlineStr">
        <is>
          <t>VÄSTRA GÖTALANDS LÄN</t>
        </is>
      </c>
      <c r="E8527" t="inlineStr">
        <is>
          <t>BORÅS</t>
        </is>
      </c>
      <c r="F8527" t="inlineStr">
        <is>
          <t>Kommuner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34547-2023</t>
        </is>
      </c>
      <c r="B8528" s="1" t="n">
        <v>45140.48737268519</v>
      </c>
      <c r="C8528" s="1" t="n">
        <v>46011</v>
      </c>
      <c r="D8528" t="inlineStr">
        <is>
          <t>VÄSTRA GÖTALANDS LÄN</t>
        </is>
      </c>
      <c r="E8528" t="inlineStr">
        <is>
          <t>TRANEMO</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50188-2025</t>
        </is>
      </c>
      <c r="B8529" s="1" t="n">
        <v>45943.63313657408</v>
      </c>
      <c r="C8529" s="1" t="n">
        <v>46011</v>
      </c>
      <c r="D8529" t="inlineStr">
        <is>
          <t>VÄSTRA GÖTALANDS LÄN</t>
        </is>
      </c>
      <c r="E8529" t="inlineStr">
        <is>
          <t>HÄRRYDA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50240-2025</t>
        </is>
      </c>
      <c r="B8530" s="1" t="n">
        <v>45943.84081018518</v>
      </c>
      <c r="C8530" s="1" t="n">
        <v>46011</v>
      </c>
      <c r="D8530" t="inlineStr">
        <is>
          <t>VÄSTRA GÖTALANDS LÄN</t>
        </is>
      </c>
      <c r="E8530" t="inlineStr">
        <is>
          <t>MARK</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47866-2024</t>
        </is>
      </c>
      <c r="B8531" s="1" t="n">
        <v>45588.69111111111</v>
      </c>
      <c r="C8531" s="1" t="n">
        <v>46011</v>
      </c>
      <c r="D8531" t="inlineStr">
        <is>
          <t>VÄSTRA GÖTALANDS LÄN</t>
        </is>
      </c>
      <c r="E8531" t="inlineStr">
        <is>
          <t>LERUM</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50337-2025</t>
        </is>
      </c>
      <c r="B8532" s="1" t="n">
        <v>45944</v>
      </c>
      <c r="C8532" s="1" t="n">
        <v>46011</v>
      </c>
      <c r="D8532" t="inlineStr">
        <is>
          <t>VÄSTRA GÖTALANDS LÄN</t>
        </is>
      </c>
      <c r="E8532" t="inlineStr">
        <is>
          <t>TROLLHÄTTAN</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39672-2025</t>
        </is>
      </c>
      <c r="B8533" s="1" t="n">
        <v>45890.64541666667</v>
      </c>
      <c r="C8533" s="1" t="n">
        <v>46011</v>
      </c>
      <c r="D8533" t="inlineStr">
        <is>
          <t>VÄSTRA GÖTALANDS LÄN</t>
        </is>
      </c>
      <c r="E8533" t="inlineStr">
        <is>
          <t>HÄRRYDA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45351-2025</t>
        </is>
      </c>
      <c r="B8534" s="1" t="n">
        <v>45922.36165509259</v>
      </c>
      <c r="C8534" s="1" t="n">
        <v>46011</v>
      </c>
      <c r="D8534" t="inlineStr">
        <is>
          <t>VÄSTRA GÖTALANDS LÄN</t>
        </is>
      </c>
      <c r="E8534" t="inlineStr">
        <is>
          <t>MARK</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49951-2025</t>
        </is>
      </c>
      <c r="B8535" s="1" t="n">
        <v>45940.75581018518</v>
      </c>
      <c r="C8535" s="1" t="n">
        <v>46011</v>
      </c>
      <c r="D8535" t="inlineStr">
        <is>
          <t>VÄSTRA GÖTALANDS LÄN</t>
        </is>
      </c>
      <c r="E8535" t="inlineStr">
        <is>
          <t>GRÄSTORP</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50343-2025</t>
        </is>
      </c>
      <c r="B8536" s="1" t="n">
        <v>45944.53710648148</v>
      </c>
      <c r="C8536" s="1" t="n">
        <v>46011</v>
      </c>
      <c r="D8536" t="inlineStr">
        <is>
          <t>VÄSTRA GÖTALANDS LÄN</t>
        </is>
      </c>
      <c r="E8536" t="inlineStr">
        <is>
          <t>LIDKÖPING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50209-2025</t>
        </is>
      </c>
      <c r="B8537" s="1" t="n">
        <v>45943</v>
      </c>
      <c r="C8537" s="1" t="n">
        <v>46011</v>
      </c>
      <c r="D8537" t="inlineStr">
        <is>
          <t>VÄSTRA GÖTALANDS LÄN</t>
        </is>
      </c>
      <c r="E8537" t="inlineStr">
        <is>
          <t>TROLLHÄTTAN</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58742-2025</t>
        </is>
      </c>
      <c r="B8538" s="1" t="n">
        <v>45986.63512731482</v>
      </c>
      <c r="C8538" s="1" t="n">
        <v>46011</v>
      </c>
      <c r="D8538" t="inlineStr">
        <is>
          <t>VÄSTRA GÖTALANDS LÄN</t>
        </is>
      </c>
      <c r="E8538" t="inlineStr">
        <is>
          <t>HERRLJUNGA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38920-2022</t>
        </is>
      </c>
      <c r="B8539" s="1" t="n">
        <v>44816</v>
      </c>
      <c r="C8539" s="1" t="n">
        <v>46011</v>
      </c>
      <c r="D8539" t="inlineStr">
        <is>
          <t>VÄSTRA GÖTALANDS LÄN</t>
        </is>
      </c>
      <c r="E8539" t="inlineStr">
        <is>
          <t>VARA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23469-2024</t>
        </is>
      </c>
      <c r="B8540" s="1" t="n">
        <v>45453</v>
      </c>
      <c r="C8540" s="1" t="n">
        <v>46011</v>
      </c>
      <c r="D8540" t="inlineStr">
        <is>
          <t>VÄSTRA GÖTALANDS LÄN</t>
        </is>
      </c>
      <c r="E8540" t="inlineStr">
        <is>
          <t>KARLSBORG</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29956-2024</t>
        </is>
      </c>
      <c r="B8541" s="1" t="n">
        <v>45488.45196759259</v>
      </c>
      <c r="C8541" s="1" t="n">
        <v>46011</v>
      </c>
      <c r="D8541" t="inlineStr">
        <is>
          <t>VÄSTRA GÖTALANDS LÄN</t>
        </is>
      </c>
      <c r="E8541" t="inlineStr">
        <is>
          <t>MUNKEDAL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50189-2025</t>
        </is>
      </c>
      <c r="B8542" s="1" t="n">
        <v>45943.63476851852</v>
      </c>
      <c r="C8542" s="1" t="n">
        <v>46011</v>
      </c>
      <c r="D8542" t="inlineStr">
        <is>
          <t>VÄSTRA GÖTALANDS LÄN</t>
        </is>
      </c>
      <c r="E8542" t="inlineStr">
        <is>
          <t>ALE</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50192-2025</t>
        </is>
      </c>
      <c r="B8543" s="1" t="n">
        <v>45943.63825231481</v>
      </c>
      <c r="C8543" s="1" t="n">
        <v>46011</v>
      </c>
      <c r="D8543" t="inlineStr">
        <is>
          <t>VÄSTRA GÖTALANDS LÄN</t>
        </is>
      </c>
      <c r="E8543" t="inlineStr">
        <is>
          <t>VÄNERSBORG</t>
        </is>
      </c>
      <c r="G8543" t="n">
        <v>15.8</v>
      </c>
      <c r="H8543" t="n">
        <v>0</v>
      </c>
      <c r="I8543" t="n">
        <v>0</v>
      </c>
      <c r="J8543" t="n">
        <v>0</v>
      </c>
      <c r="K8543" t="n">
        <v>0</v>
      </c>
      <c r="L8543" t="n">
        <v>0</v>
      </c>
      <c r="M8543" t="n">
        <v>0</v>
      </c>
      <c r="N8543" t="n">
        <v>0</v>
      </c>
      <c r="O8543" t="n">
        <v>0</v>
      </c>
      <c r="P8543" t="n">
        <v>0</v>
      </c>
      <c r="Q8543" t="n">
        <v>0</v>
      </c>
      <c r="R8543" s="2" t="inlineStr"/>
    </row>
    <row r="8544" ht="15" customHeight="1">
      <c r="A8544" t="inlineStr">
        <is>
          <t>A 50193-2025</t>
        </is>
      </c>
      <c r="B8544" s="1" t="n">
        <v>45943.640625</v>
      </c>
      <c r="C8544" s="1" t="n">
        <v>46011</v>
      </c>
      <c r="D8544" t="inlineStr">
        <is>
          <t>VÄSTRA GÖTALANDS LÄN</t>
        </is>
      </c>
      <c r="E8544" t="inlineStr">
        <is>
          <t>VÄNERSBORG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50604-2025</t>
        </is>
      </c>
      <c r="B8545" s="1" t="n">
        <v>45944</v>
      </c>
      <c r="C8545" s="1" t="n">
        <v>46011</v>
      </c>
      <c r="D8545" t="inlineStr">
        <is>
          <t>VÄSTRA GÖTALANDS LÄN</t>
        </is>
      </c>
      <c r="E8545" t="inlineStr">
        <is>
          <t>VARA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46732-2023</t>
        </is>
      </c>
      <c r="B8546" s="1" t="n">
        <v>45198.59054398148</v>
      </c>
      <c r="C8546" s="1" t="n">
        <v>46011</v>
      </c>
      <c r="D8546" t="inlineStr">
        <is>
          <t>VÄSTRA GÖTALANDS LÄN</t>
        </is>
      </c>
      <c r="E8546" t="inlineStr">
        <is>
          <t>VÅRGÅRDA</t>
        </is>
      </c>
      <c r="F8546" t="inlineStr">
        <is>
          <t>Kyrkan</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11484-2025</t>
        </is>
      </c>
      <c r="B8547" s="1" t="n">
        <v>45726.69502314815</v>
      </c>
      <c r="C8547" s="1" t="n">
        <v>46011</v>
      </c>
      <c r="D8547" t="inlineStr">
        <is>
          <t>VÄSTRA GÖTALANDS LÄN</t>
        </is>
      </c>
      <c r="E8547" t="inlineStr">
        <is>
          <t>VÅRGÅRDA</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46742-2023</t>
        </is>
      </c>
      <c r="B8548" s="1" t="n">
        <v>45198</v>
      </c>
      <c r="C8548" s="1" t="n">
        <v>46011</v>
      </c>
      <c r="D8548" t="inlineStr">
        <is>
          <t>VÄSTRA GÖTALANDS LÄN</t>
        </is>
      </c>
      <c r="E8548" t="inlineStr">
        <is>
          <t>BENGTSFORS</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46753-2023</t>
        </is>
      </c>
      <c r="B8549" s="1" t="n">
        <v>45198</v>
      </c>
      <c r="C8549" s="1" t="n">
        <v>46011</v>
      </c>
      <c r="D8549" t="inlineStr">
        <is>
          <t>VÄSTRA GÖTALANDS LÄN</t>
        </is>
      </c>
      <c r="E8549" t="inlineStr">
        <is>
          <t>ÅMÅL</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46767-2023</t>
        </is>
      </c>
      <c r="B8550" s="1" t="n">
        <v>45195</v>
      </c>
      <c r="C8550" s="1" t="n">
        <v>46011</v>
      </c>
      <c r="D8550" t="inlineStr">
        <is>
          <t>VÄSTRA GÖTALANDS LÄN</t>
        </is>
      </c>
      <c r="E8550" t="inlineStr">
        <is>
          <t>BENGTSFORS</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42778-2023</t>
        </is>
      </c>
      <c r="B8551" s="1" t="n">
        <v>45181.79244212963</v>
      </c>
      <c r="C8551" s="1" t="n">
        <v>46011</v>
      </c>
      <c r="D8551" t="inlineStr">
        <is>
          <t>VÄSTRA GÖTALANDS LÄN</t>
        </is>
      </c>
      <c r="E8551" t="inlineStr">
        <is>
          <t>TIDAHOLM</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42781-2023</t>
        </is>
      </c>
      <c r="B8552" s="1" t="n">
        <v>45181.86436342593</v>
      </c>
      <c r="C8552" s="1" t="n">
        <v>46011</v>
      </c>
      <c r="D8552" t="inlineStr">
        <is>
          <t>VÄSTRA GÖTALANDS LÄN</t>
        </is>
      </c>
      <c r="E8552" t="inlineStr">
        <is>
          <t>DALS-ED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49950-2025</t>
        </is>
      </c>
      <c r="B8553" s="1" t="n">
        <v>45940.75454861111</v>
      </c>
      <c r="C8553" s="1" t="n">
        <v>46011</v>
      </c>
      <c r="D8553" t="inlineStr">
        <is>
          <t>VÄSTRA GÖTALANDS LÄN</t>
        </is>
      </c>
      <c r="E8553" t="inlineStr">
        <is>
          <t>GRÄSTORP</t>
        </is>
      </c>
      <c r="G8553" t="n">
        <v>12.5</v>
      </c>
      <c r="H8553" t="n">
        <v>0</v>
      </c>
      <c r="I8553" t="n">
        <v>0</v>
      </c>
      <c r="J8553" t="n">
        <v>0</v>
      </c>
      <c r="K8553" t="n">
        <v>0</v>
      </c>
      <c r="L8553" t="n">
        <v>0</v>
      </c>
      <c r="M8553" t="n">
        <v>0</v>
      </c>
      <c r="N8553" t="n">
        <v>0</v>
      </c>
      <c r="O8553" t="n">
        <v>0</v>
      </c>
      <c r="P8553" t="n">
        <v>0</v>
      </c>
      <c r="Q8553" t="n">
        <v>0</v>
      </c>
      <c r="R8553" s="2" t="inlineStr"/>
    </row>
    <row r="8554" ht="15" customHeight="1">
      <c r="A8554" t="inlineStr">
        <is>
          <t>A 49985-2025</t>
        </is>
      </c>
      <c r="B8554" s="1" t="n">
        <v>45942.7809837963</v>
      </c>
      <c r="C8554" s="1" t="n">
        <v>46011</v>
      </c>
      <c r="D8554" t="inlineStr">
        <is>
          <t>VÄSTRA GÖTALANDS LÄN</t>
        </is>
      </c>
      <c r="E8554" t="inlineStr">
        <is>
          <t>KARLSBORG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50376-2025</t>
        </is>
      </c>
      <c r="B8555" s="1" t="n">
        <v>45944</v>
      </c>
      <c r="C8555" s="1" t="n">
        <v>46011</v>
      </c>
      <c r="D8555" t="inlineStr">
        <is>
          <t>VÄSTRA GÖTALANDS LÄN</t>
        </is>
      </c>
      <c r="E8555" t="inlineStr">
        <is>
          <t>BORÅS</t>
        </is>
      </c>
      <c r="G8555" t="n">
        <v>10.6</v>
      </c>
      <c r="H8555" t="n">
        <v>0</v>
      </c>
      <c r="I8555" t="n">
        <v>0</v>
      </c>
      <c r="J8555" t="n">
        <v>0</v>
      </c>
      <c r="K8555" t="n">
        <v>0</v>
      </c>
      <c r="L8555" t="n">
        <v>0</v>
      </c>
      <c r="M8555" t="n">
        <v>0</v>
      </c>
      <c r="N8555" t="n">
        <v>0</v>
      </c>
      <c r="O8555" t="n">
        <v>0</v>
      </c>
      <c r="P8555" t="n">
        <v>0</v>
      </c>
      <c r="Q8555" t="n">
        <v>0</v>
      </c>
      <c r="R8555" s="2" t="inlineStr"/>
    </row>
    <row r="8556" ht="15" customHeight="1">
      <c r="A8556" t="inlineStr">
        <is>
          <t>A 16480-2023</t>
        </is>
      </c>
      <c r="B8556" s="1" t="n">
        <v>45026</v>
      </c>
      <c r="C8556" s="1" t="n">
        <v>46011</v>
      </c>
      <c r="D8556" t="inlineStr">
        <is>
          <t>VÄSTRA GÖTALANDS LÄN</t>
        </is>
      </c>
      <c r="E8556" t="inlineStr">
        <is>
          <t>TANUM</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41318-2022</t>
        </is>
      </c>
      <c r="B8557" s="1" t="n">
        <v>44826</v>
      </c>
      <c r="C8557" s="1" t="n">
        <v>46011</v>
      </c>
      <c r="D8557" t="inlineStr">
        <is>
          <t>VÄSTRA GÖTALANDS LÄN</t>
        </is>
      </c>
      <c r="E8557" t="inlineStr">
        <is>
          <t>HÄRRYDA</t>
        </is>
      </c>
      <c r="G8557" t="n">
        <v>11.5</v>
      </c>
      <c r="H8557" t="n">
        <v>0</v>
      </c>
      <c r="I8557" t="n">
        <v>0</v>
      </c>
      <c r="J8557" t="n">
        <v>0</v>
      </c>
      <c r="K8557" t="n">
        <v>0</v>
      </c>
      <c r="L8557" t="n">
        <v>0</v>
      </c>
      <c r="M8557" t="n">
        <v>0</v>
      </c>
      <c r="N8557" t="n">
        <v>0</v>
      </c>
      <c r="O8557" t="n">
        <v>0</v>
      </c>
      <c r="P8557" t="n">
        <v>0</v>
      </c>
      <c r="Q8557" t="n">
        <v>0</v>
      </c>
      <c r="R8557" s="2" t="inlineStr"/>
    </row>
    <row r="8558" ht="15" customHeight="1">
      <c r="A8558" t="inlineStr">
        <is>
          <t>A 27588-2023</t>
        </is>
      </c>
      <c r="B8558" s="1" t="n">
        <v>45097</v>
      </c>
      <c r="C8558" s="1" t="n">
        <v>46011</v>
      </c>
      <c r="D8558" t="inlineStr">
        <is>
          <t>VÄSTRA GÖTALANDS LÄN</t>
        </is>
      </c>
      <c r="E8558" t="inlineStr">
        <is>
          <t>ALINGSÅS</t>
        </is>
      </c>
      <c r="G8558" t="n">
        <v>12.8</v>
      </c>
      <c r="H8558" t="n">
        <v>0</v>
      </c>
      <c r="I8558" t="n">
        <v>0</v>
      </c>
      <c r="J8558" t="n">
        <v>0</v>
      </c>
      <c r="K8558" t="n">
        <v>0</v>
      </c>
      <c r="L8558" t="n">
        <v>0</v>
      </c>
      <c r="M8558" t="n">
        <v>0</v>
      </c>
      <c r="N8558" t="n">
        <v>0</v>
      </c>
      <c r="O8558" t="n">
        <v>0</v>
      </c>
      <c r="P8558" t="n">
        <v>0</v>
      </c>
      <c r="Q8558" t="n">
        <v>0</v>
      </c>
      <c r="R8558" s="2" t="inlineStr"/>
    </row>
    <row r="8559" ht="15" customHeight="1">
      <c r="A8559" t="inlineStr">
        <is>
          <t>A 58636-2025</t>
        </is>
      </c>
      <c r="B8559" s="1" t="n">
        <v>45986.48988425926</v>
      </c>
      <c r="C8559" s="1" t="n">
        <v>46011</v>
      </c>
      <c r="D8559" t="inlineStr">
        <is>
          <t>VÄSTRA GÖTALANDS LÄN</t>
        </is>
      </c>
      <c r="E8559" t="inlineStr">
        <is>
          <t>ALINGSÅS</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55438-2025</t>
        </is>
      </c>
      <c r="B8560" s="1" t="n">
        <v>45971</v>
      </c>
      <c r="C8560" s="1" t="n">
        <v>46011</v>
      </c>
      <c r="D8560" t="inlineStr">
        <is>
          <t>VÄSTRA GÖTALANDS LÄN</t>
        </is>
      </c>
      <c r="E8560" t="inlineStr">
        <is>
          <t>MUNKEDAL</t>
        </is>
      </c>
      <c r="G8560" t="n">
        <v>16.3</v>
      </c>
      <c r="H8560" t="n">
        <v>0</v>
      </c>
      <c r="I8560" t="n">
        <v>0</v>
      </c>
      <c r="J8560" t="n">
        <v>0</v>
      </c>
      <c r="K8560" t="n">
        <v>0</v>
      </c>
      <c r="L8560" t="n">
        <v>0</v>
      </c>
      <c r="M8560" t="n">
        <v>0</v>
      </c>
      <c r="N8560" t="n">
        <v>0</v>
      </c>
      <c r="O8560" t="n">
        <v>0</v>
      </c>
      <c r="P8560" t="n">
        <v>0</v>
      </c>
      <c r="Q8560" t="n">
        <v>0</v>
      </c>
      <c r="R8560" s="2" t="inlineStr"/>
    </row>
    <row r="8561" ht="15" customHeight="1">
      <c r="A8561" t="inlineStr">
        <is>
          <t>A 58371-2025</t>
        </is>
      </c>
      <c r="B8561" s="1" t="n">
        <v>45985.53037037037</v>
      </c>
      <c r="C8561" s="1" t="n">
        <v>46011</v>
      </c>
      <c r="D8561" t="inlineStr">
        <is>
          <t>VÄSTRA GÖTALANDS LÄN</t>
        </is>
      </c>
      <c r="E8561" t="inlineStr">
        <is>
          <t>FALKÖPING</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50047-2025</t>
        </is>
      </c>
      <c r="B8562" s="1" t="n">
        <v>45943.41034722222</v>
      </c>
      <c r="C8562" s="1" t="n">
        <v>46011</v>
      </c>
      <c r="D8562" t="inlineStr">
        <is>
          <t>VÄSTRA GÖTALANDS LÄN</t>
        </is>
      </c>
      <c r="E8562" t="inlineStr">
        <is>
          <t>BENGTSFORS</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50091-2025</t>
        </is>
      </c>
      <c r="B8563" s="1" t="n">
        <v>45943.48703703703</v>
      </c>
      <c r="C8563" s="1" t="n">
        <v>46011</v>
      </c>
      <c r="D8563" t="inlineStr">
        <is>
          <t>VÄSTRA GÖTALANDS LÄN</t>
        </is>
      </c>
      <c r="E8563" t="inlineStr">
        <is>
          <t>HJO</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50096-2025</t>
        </is>
      </c>
      <c r="B8564" s="1" t="n">
        <v>45943.50023148148</v>
      </c>
      <c r="C8564" s="1" t="n">
        <v>46011</v>
      </c>
      <c r="D8564" t="inlineStr">
        <is>
          <t>VÄSTRA GÖTALANDS LÄN</t>
        </is>
      </c>
      <c r="E8564" t="inlineStr">
        <is>
          <t>MARK</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37791-2023</t>
        </is>
      </c>
      <c r="B8565" s="1" t="n">
        <v>45159</v>
      </c>
      <c r="C8565" s="1" t="n">
        <v>46011</v>
      </c>
      <c r="D8565" t="inlineStr">
        <is>
          <t>VÄSTRA GÖTALANDS LÄN</t>
        </is>
      </c>
      <c r="E8565" t="inlineStr">
        <is>
          <t>ULRICEHAMN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30131-2024</t>
        </is>
      </c>
      <c r="B8566" s="1" t="n">
        <v>45489.53511574074</v>
      </c>
      <c r="C8566" s="1" t="n">
        <v>46011</v>
      </c>
      <c r="D8566" t="inlineStr">
        <is>
          <t>VÄSTRA GÖTALANDS LÄN</t>
        </is>
      </c>
      <c r="E8566" t="inlineStr">
        <is>
          <t>MUNKEDAL</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58443-2025</t>
        </is>
      </c>
      <c r="B8567" s="1" t="n">
        <v>45985.61674768518</v>
      </c>
      <c r="C8567" s="1" t="n">
        <v>46011</v>
      </c>
      <c r="D8567" t="inlineStr">
        <is>
          <t>VÄSTRA GÖTALANDS LÄN</t>
        </is>
      </c>
      <c r="E8567" t="inlineStr">
        <is>
          <t>VÅRGÅRDA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38366-2025</t>
        </is>
      </c>
      <c r="B8568" s="1" t="n">
        <v>45883.55109953704</v>
      </c>
      <c r="C8568" s="1" t="n">
        <v>46011</v>
      </c>
      <c r="D8568" t="inlineStr">
        <is>
          <t>VÄSTRA GÖTALANDS LÄN</t>
        </is>
      </c>
      <c r="E8568" t="inlineStr">
        <is>
          <t>FÄRGELANDA</t>
        </is>
      </c>
      <c r="G8568" t="n">
        <v>7.2</v>
      </c>
      <c r="H8568" t="n">
        <v>0</v>
      </c>
      <c r="I8568" t="n">
        <v>0</v>
      </c>
      <c r="J8568" t="n">
        <v>0</v>
      </c>
      <c r="K8568" t="n">
        <v>0</v>
      </c>
      <c r="L8568" t="n">
        <v>0</v>
      </c>
      <c r="M8568" t="n">
        <v>0</v>
      </c>
      <c r="N8568" t="n">
        <v>0</v>
      </c>
      <c r="O8568" t="n">
        <v>0</v>
      </c>
      <c r="P8568" t="n">
        <v>0</v>
      </c>
      <c r="Q8568" t="n">
        <v>0</v>
      </c>
      <c r="R8568" s="2" t="inlineStr"/>
    </row>
    <row r="8569" ht="15" customHeight="1">
      <c r="A8569" t="inlineStr">
        <is>
          <t>A 32591-2022</t>
        </is>
      </c>
      <c r="B8569" s="1" t="n">
        <v>44783</v>
      </c>
      <c r="C8569" s="1" t="n">
        <v>46011</v>
      </c>
      <c r="D8569" t="inlineStr">
        <is>
          <t>VÄSTRA GÖTALANDS LÄN</t>
        </is>
      </c>
      <c r="E8569" t="inlineStr">
        <is>
          <t>TIDAHOLM</t>
        </is>
      </c>
      <c r="F8569" t="inlineStr">
        <is>
          <t>Sveaskog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30034-2021</t>
        </is>
      </c>
      <c r="B8570" s="1" t="n">
        <v>44363</v>
      </c>
      <c r="C8570" s="1" t="n">
        <v>46011</v>
      </c>
      <c r="D8570" t="inlineStr">
        <is>
          <t>VÄSTRA GÖTALANDS LÄN</t>
        </is>
      </c>
      <c r="E8570" t="inlineStr">
        <is>
          <t>SKÖVDE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30057-2021</t>
        </is>
      </c>
      <c r="B8571" s="1" t="n">
        <v>44363.47548611111</v>
      </c>
      <c r="C8571" s="1" t="n">
        <v>46011</v>
      </c>
      <c r="D8571" t="inlineStr">
        <is>
          <t>VÄSTRA GÖTALANDS LÄN</t>
        </is>
      </c>
      <c r="E8571" t="inlineStr">
        <is>
          <t>SKARA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58517-2025</t>
        </is>
      </c>
      <c r="B8572" s="1" t="n">
        <v>45985.70609953703</v>
      </c>
      <c r="C8572" s="1" t="n">
        <v>46011</v>
      </c>
      <c r="D8572" t="inlineStr">
        <is>
          <t>VÄSTRA GÖTALANDS LÄN</t>
        </is>
      </c>
      <c r="E8572" t="inlineStr">
        <is>
          <t>GÖTENE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58520-2025</t>
        </is>
      </c>
      <c r="B8573" s="1" t="n">
        <v>45985.70936342593</v>
      </c>
      <c r="C8573" s="1" t="n">
        <v>46011</v>
      </c>
      <c r="D8573" t="inlineStr">
        <is>
          <t>VÄSTRA GÖTALANDS LÄN</t>
        </is>
      </c>
      <c r="E8573" t="inlineStr">
        <is>
          <t>GÖTENE</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10867-2025</t>
        </is>
      </c>
      <c r="B8574" s="1" t="n">
        <v>45722.62149305556</v>
      </c>
      <c r="C8574" s="1" t="n">
        <v>46011</v>
      </c>
      <c r="D8574" t="inlineStr">
        <is>
          <t>VÄSTRA GÖTALANDS LÄN</t>
        </is>
      </c>
      <c r="E8574" t="inlineStr">
        <is>
          <t>TRANEMO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506-2023</t>
        </is>
      </c>
      <c r="B8575" s="1" t="n">
        <v>44930</v>
      </c>
      <c r="C8575" s="1" t="n">
        <v>46011</v>
      </c>
      <c r="D8575" t="inlineStr">
        <is>
          <t>VÄSTRA GÖTALANDS LÄN</t>
        </is>
      </c>
      <c r="E8575" t="inlineStr">
        <is>
          <t>TIBRO</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37095-2022</t>
        </is>
      </c>
      <c r="B8576" s="1" t="n">
        <v>44806.50550925926</v>
      </c>
      <c r="C8576" s="1" t="n">
        <v>46011</v>
      </c>
      <c r="D8576" t="inlineStr">
        <is>
          <t>VÄSTRA GÖTALANDS LÄN</t>
        </is>
      </c>
      <c r="E8576" t="inlineStr">
        <is>
          <t>MARK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58630-2025</t>
        </is>
      </c>
      <c r="B8577" s="1" t="n">
        <v>45986.4834837963</v>
      </c>
      <c r="C8577" s="1" t="n">
        <v>46011</v>
      </c>
      <c r="D8577" t="inlineStr">
        <is>
          <t>VÄSTRA GÖTALANDS LÄN</t>
        </is>
      </c>
      <c r="E8577" t="inlineStr">
        <is>
          <t>ALINGSÅS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58414-2025</t>
        </is>
      </c>
      <c r="B8578" s="1" t="n">
        <v>45985.57778935185</v>
      </c>
      <c r="C8578" s="1" t="n">
        <v>46011</v>
      </c>
      <c r="D8578" t="inlineStr">
        <is>
          <t>VÄSTRA GÖTALANDS LÄN</t>
        </is>
      </c>
      <c r="E8578" t="inlineStr">
        <is>
          <t>ALE</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22843-2021</t>
        </is>
      </c>
      <c r="B8579" s="1" t="n">
        <v>44328.4104050926</v>
      </c>
      <c r="C8579" s="1" t="n">
        <v>46011</v>
      </c>
      <c r="D8579" t="inlineStr">
        <is>
          <t>VÄSTRA GÖTALANDS LÄN</t>
        </is>
      </c>
      <c r="E8579" t="inlineStr">
        <is>
          <t>FALKÖPING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5035-2023</t>
        </is>
      </c>
      <c r="B8580" s="1" t="n">
        <v>44958.58</v>
      </c>
      <c r="C8580" s="1" t="n">
        <v>46011</v>
      </c>
      <c r="D8580" t="inlineStr">
        <is>
          <t>VÄSTRA GÖTALANDS LÄN</t>
        </is>
      </c>
      <c r="E8580" t="inlineStr">
        <is>
          <t>TRANEMO</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56561-2024</t>
        </is>
      </c>
      <c r="B8581" s="1" t="n">
        <v>45625</v>
      </c>
      <c r="C8581" s="1" t="n">
        <v>46011</v>
      </c>
      <c r="D8581" t="inlineStr">
        <is>
          <t>VÄSTRA GÖTALANDS LÄN</t>
        </is>
      </c>
      <c r="E8581" t="inlineStr">
        <is>
          <t>TÖREBODA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58408-2025</t>
        </is>
      </c>
      <c r="B8582" s="1" t="n">
        <v>45985.56969907408</v>
      </c>
      <c r="C8582" s="1" t="n">
        <v>46011</v>
      </c>
      <c r="D8582" t="inlineStr">
        <is>
          <t>VÄSTRA GÖTALANDS LÄN</t>
        </is>
      </c>
      <c r="E8582" t="inlineStr">
        <is>
          <t>KUNGÄLV</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22894-2021</t>
        </is>
      </c>
      <c r="B8583" s="1" t="n">
        <v>44328.47186342593</v>
      </c>
      <c r="C8583" s="1" t="n">
        <v>46011</v>
      </c>
      <c r="D8583" t="inlineStr">
        <is>
          <t>VÄSTRA GÖTALANDS LÄN</t>
        </is>
      </c>
      <c r="E8583" t="inlineStr">
        <is>
          <t>TÖREBODA</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420-2023</t>
        </is>
      </c>
      <c r="B8584" s="1" t="n">
        <v>44929</v>
      </c>
      <c r="C8584" s="1" t="n">
        <v>46011</v>
      </c>
      <c r="D8584" t="inlineStr">
        <is>
          <t>VÄSTRA GÖTALANDS LÄN</t>
        </is>
      </c>
      <c r="E8584" t="inlineStr">
        <is>
          <t>TIBRO</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10827-2023</t>
        </is>
      </c>
      <c r="B8585" s="1" t="n">
        <v>44990.82427083333</v>
      </c>
      <c r="C8585" s="1" t="n">
        <v>46011</v>
      </c>
      <c r="D8585" t="inlineStr">
        <is>
          <t>VÄSTRA GÖTALANDS LÄN</t>
        </is>
      </c>
      <c r="E8585" t="inlineStr">
        <is>
          <t>SKARA</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58342-2025</t>
        </is>
      </c>
      <c r="B8586" s="1" t="n">
        <v>45985.49582175926</v>
      </c>
      <c r="C8586" s="1" t="n">
        <v>46011</v>
      </c>
      <c r="D8586" t="inlineStr">
        <is>
          <t>VÄSTRA GÖTALANDS LÄN</t>
        </is>
      </c>
      <c r="E8586" t="inlineStr">
        <is>
          <t>UDDEVALLA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20361-2025</t>
        </is>
      </c>
      <c r="B8587" s="1" t="n">
        <v>45775.39840277778</v>
      </c>
      <c r="C8587" s="1" t="n">
        <v>46011</v>
      </c>
      <c r="D8587" t="inlineStr">
        <is>
          <t>VÄSTRA GÖTALANDS LÄN</t>
        </is>
      </c>
      <c r="E8587" t="inlineStr">
        <is>
          <t>TÖREBODA</t>
        </is>
      </c>
      <c r="F8587" t="inlineStr">
        <is>
          <t>Sveaskog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20362-2025</t>
        </is>
      </c>
      <c r="B8588" s="1" t="n">
        <v>45775.40157407407</v>
      </c>
      <c r="C8588" s="1" t="n">
        <v>46011</v>
      </c>
      <c r="D8588" t="inlineStr">
        <is>
          <t>VÄSTRA GÖTALANDS LÄN</t>
        </is>
      </c>
      <c r="E8588" t="inlineStr">
        <is>
          <t>TÖREBODA</t>
        </is>
      </c>
      <c r="F8588" t="inlineStr">
        <is>
          <t>Sveaskog</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58590-2025</t>
        </is>
      </c>
      <c r="B8589" s="1" t="n">
        <v>45986.40865740741</v>
      </c>
      <c r="C8589" s="1" t="n">
        <v>46011</v>
      </c>
      <c r="D8589" t="inlineStr">
        <is>
          <t>VÄSTRA GÖTALANDS LÄN</t>
        </is>
      </c>
      <c r="E8589" t="inlineStr">
        <is>
          <t>DALS-ED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50254-2025</t>
        </is>
      </c>
      <c r="B8590" s="1" t="n">
        <v>45944.33063657407</v>
      </c>
      <c r="C8590" s="1" t="n">
        <v>46011</v>
      </c>
      <c r="D8590" t="inlineStr">
        <is>
          <t>VÄSTRA GÖTALANDS LÄN</t>
        </is>
      </c>
      <c r="E8590" t="inlineStr">
        <is>
          <t>BORÅS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36576-2023</t>
        </is>
      </c>
      <c r="B8591" s="1" t="n">
        <v>45153.44586805555</v>
      </c>
      <c r="C8591" s="1" t="n">
        <v>46011</v>
      </c>
      <c r="D8591" t="inlineStr">
        <is>
          <t>VÄSTRA GÖTALANDS LÄN</t>
        </is>
      </c>
      <c r="E8591" t="inlineStr">
        <is>
          <t>TRANEMO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61985-2024</t>
        </is>
      </c>
      <c r="B8592" s="1" t="n">
        <v>45653.67324074074</v>
      </c>
      <c r="C8592" s="1" t="n">
        <v>46011</v>
      </c>
      <c r="D8592" t="inlineStr">
        <is>
          <t>VÄSTRA GÖTALANDS LÄN</t>
        </is>
      </c>
      <c r="E8592" t="inlineStr">
        <is>
          <t>LYSEKIL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38263-2025</t>
        </is>
      </c>
      <c r="B8593" s="1" t="n">
        <v>45883.40136574074</v>
      </c>
      <c r="C8593" s="1" t="n">
        <v>46011</v>
      </c>
      <c r="D8593" t="inlineStr">
        <is>
          <t>VÄSTRA GÖTALANDS LÄN</t>
        </is>
      </c>
      <c r="E8593" t="inlineStr">
        <is>
          <t>HERRLJUNGA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36232-2023</t>
        </is>
      </c>
      <c r="B8594" s="1" t="n">
        <v>45150.39412037037</v>
      </c>
      <c r="C8594" s="1" t="n">
        <v>46011</v>
      </c>
      <c r="D8594" t="inlineStr">
        <is>
          <t>VÄSTRA GÖTALANDS LÄN</t>
        </is>
      </c>
      <c r="E8594" t="inlineStr">
        <is>
          <t>DALS-ED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58597-2025</t>
        </is>
      </c>
      <c r="B8595" s="1" t="n">
        <v>45986.42119212963</v>
      </c>
      <c r="C8595" s="1" t="n">
        <v>46011</v>
      </c>
      <c r="D8595" t="inlineStr">
        <is>
          <t>VÄSTRA GÖTALANDS LÄN</t>
        </is>
      </c>
      <c r="E8595" t="inlineStr">
        <is>
          <t>DALS-ED</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49998-2025</t>
        </is>
      </c>
      <c r="B8596" s="1" t="n">
        <v>45943.09372685185</v>
      </c>
      <c r="C8596" s="1" t="n">
        <v>46011</v>
      </c>
      <c r="D8596" t="inlineStr">
        <is>
          <t>VÄSTRA GÖTALANDS LÄN</t>
        </is>
      </c>
      <c r="E8596" t="inlineStr">
        <is>
          <t>LIDKÖPING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25663-2025</t>
        </is>
      </c>
      <c r="B8597" s="1" t="n">
        <v>45803.61898148148</v>
      </c>
      <c r="C8597" s="1" t="n">
        <v>46011</v>
      </c>
      <c r="D8597" t="inlineStr">
        <is>
          <t>VÄSTRA GÖTALANDS LÄN</t>
        </is>
      </c>
      <c r="E8597" t="inlineStr">
        <is>
          <t>BORÅS</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58752-2025</t>
        </is>
      </c>
      <c r="B8598" s="1" t="n">
        <v>45986.64166666667</v>
      </c>
      <c r="C8598" s="1" t="n">
        <v>46011</v>
      </c>
      <c r="D8598" t="inlineStr">
        <is>
          <t>VÄSTRA GÖTALANDS LÄN</t>
        </is>
      </c>
      <c r="E8598" t="inlineStr">
        <is>
          <t>HERRLJUNGA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56082-2025</t>
        </is>
      </c>
      <c r="B8599" s="1" t="n">
        <v>45973.66148148148</v>
      </c>
      <c r="C8599" s="1" t="n">
        <v>46011</v>
      </c>
      <c r="D8599" t="inlineStr">
        <is>
          <t>VÄSTRA GÖTALANDS LÄN</t>
        </is>
      </c>
      <c r="E8599" t="inlineStr">
        <is>
          <t>ULRICEHAMN</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16927-2021</t>
        </is>
      </c>
      <c r="B8600" s="1" t="n">
        <v>44295.51916666667</v>
      </c>
      <c r="C8600" s="1" t="n">
        <v>46011</v>
      </c>
      <c r="D8600" t="inlineStr">
        <is>
          <t>VÄSTRA GÖTALANDS LÄN</t>
        </is>
      </c>
      <c r="E8600" t="inlineStr">
        <is>
          <t>HERRLJUNGA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58220-2025</t>
        </is>
      </c>
      <c r="B8601" s="1" t="n">
        <v>45985.36349537037</v>
      </c>
      <c r="C8601" s="1" t="n">
        <v>46011</v>
      </c>
      <c r="D8601" t="inlineStr">
        <is>
          <t>VÄSTRA GÖTALANDS LÄN</t>
        </is>
      </c>
      <c r="E8601" t="inlineStr">
        <is>
          <t>HERRLJUNGA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58227-2025</t>
        </is>
      </c>
      <c r="B8602" s="1" t="n">
        <v>45985.37597222222</v>
      </c>
      <c r="C8602" s="1" t="n">
        <v>46011</v>
      </c>
      <c r="D8602" t="inlineStr">
        <is>
          <t>VÄSTRA GÖTALANDS LÄN</t>
        </is>
      </c>
      <c r="E8602" t="inlineStr">
        <is>
          <t>HERRLJUNGA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58767-2025</t>
        </is>
      </c>
      <c r="B8603" s="1" t="n">
        <v>45986.66530092592</v>
      </c>
      <c r="C8603" s="1" t="n">
        <v>46011</v>
      </c>
      <c r="D8603" t="inlineStr">
        <is>
          <t>VÄSTRA GÖTALANDS LÄN</t>
        </is>
      </c>
      <c r="E8603" t="inlineStr">
        <is>
          <t>GÖTENE</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50035-2025</t>
        </is>
      </c>
      <c r="B8604" s="1" t="n">
        <v>45943.3944675926</v>
      </c>
      <c r="C8604" s="1" t="n">
        <v>46011</v>
      </c>
      <c r="D8604" t="inlineStr">
        <is>
          <t>VÄSTRA GÖTALANDS LÄN</t>
        </is>
      </c>
      <c r="E8604" t="inlineStr">
        <is>
          <t>GULLSPÅNG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43919-2025</t>
        </is>
      </c>
      <c r="B8605" s="1" t="n">
        <v>45914.90981481481</v>
      </c>
      <c r="C8605" s="1" t="n">
        <v>46011</v>
      </c>
      <c r="D8605" t="inlineStr">
        <is>
          <t>VÄSTRA GÖTALANDS LÄN</t>
        </is>
      </c>
      <c r="E8605" t="inlineStr">
        <is>
          <t>BORÅS</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58582-2025</t>
        </is>
      </c>
      <c r="B8606" s="1" t="n">
        <v>45986.38829861111</v>
      </c>
      <c r="C8606" s="1" t="n">
        <v>46011</v>
      </c>
      <c r="D8606" t="inlineStr">
        <is>
          <t>VÄSTRA GÖTALANDS LÄN</t>
        </is>
      </c>
      <c r="E8606" t="inlineStr">
        <is>
          <t>BENGTSFORS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62162-2023</t>
        </is>
      </c>
      <c r="B8607" s="1" t="n">
        <v>45267.40234953703</v>
      </c>
      <c r="C8607" s="1" t="n">
        <v>46011</v>
      </c>
      <c r="D8607" t="inlineStr">
        <is>
          <t>VÄSTRA GÖTALANDS LÄN</t>
        </is>
      </c>
      <c r="E8607" t="inlineStr">
        <is>
          <t>BORÅS</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44707-2021</t>
        </is>
      </c>
      <c r="B8608" s="1" t="n">
        <v>44438.36449074074</v>
      </c>
      <c r="C8608" s="1" t="n">
        <v>46011</v>
      </c>
      <c r="D8608" t="inlineStr">
        <is>
          <t>VÄSTRA GÖTALANDS LÄN</t>
        </is>
      </c>
      <c r="E8608" t="inlineStr">
        <is>
          <t>GULLSPÅNG</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58746-2025</t>
        </is>
      </c>
      <c r="B8609" s="1" t="n">
        <v>45986.63912037037</v>
      </c>
      <c r="C8609" s="1" t="n">
        <v>46011</v>
      </c>
      <c r="D8609" t="inlineStr">
        <is>
          <t>VÄSTRA GÖTALANDS LÄN</t>
        </is>
      </c>
      <c r="E8609" t="inlineStr">
        <is>
          <t>HERRLJUNGA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58766-2025</t>
        </is>
      </c>
      <c r="B8610" s="1" t="n">
        <v>45986.66487268519</v>
      </c>
      <c r="C8610" s="1" t="n">
        <v>46011</v>
      </c>
      <c r="D8610" t="inlineStr">
        <is>
          <t>VÄSTRA GÖTALANDS LÄN</t>
        </is>
      </c>
      <c r="E8610" t="inlineStr">
        <is>
          <t>GÖTENE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27980-2023</t>
        </is>
      </c>
      <c r="B8611" s="1" t="n">
        <v>45098</v>
      </c>
      <c r="C8611" s="1" t="n">
        <v>46011</v>
      </c>
      <c r="D8611" t="inlineStr">
        <is>
          <t>VÄSTRA GÖTALANDS LÄN</t>
        </is>
      </c>
      <c r="E8611" t="inlineStr">
        <is>
          <t>SKARA</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28002-2023</t>
        </is>
      </c>
      <c r="B8612" s="1" t="n">
        <v>45098</v>
      </c>
      <c r="C8612" s="1" t="n">
        <v>46011</v>
      </c>
      <c r="D8612" t="inlineStr">
        <is>
          <t>VÄSTRA GÖTALANDS LÄN</t>
        </is>
      </c>
      <c r="E8612" t="inlineStr">
        <is>
          <t>BORÅS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45353-2025</t>
        </is>
      </c>
      <c r="B8613" s="1" t="n">
        <v>45922.3640625</v>
      </c>
      <c r="C8613" s="1" t="n">
        <v>46011</v>
      </c>
      <c r="D8613" t="inlineStr">
        <is>
          <t>VÄSTRA GÖTALANDS LÄN</t>
        </is>
      </c>
      <c r="E8613" t="inlineStr">
        <is>
          <t>MARK</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35718-2025</t>
        </is>
      </c>
      <c r="B8614" s="1" t="n">
        <v>45860.4315162037</v>
      </c>
      <c r="C8614" s="1" t="n">
        <v>46011</v>
      </c>
      <c r="D8614" t="inlineStr">
        <is>
          <t>VÄSTRA GÖTALANDS LÄN</t>
        </is>
      </c>
      <c r="E8614" t="inlineStr">
        <is>
          <t>LILLA EDET</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22186-2025</t>
        </is>
      </c>
      <c r="B8615" s="1" t="n">
        <v>45785.62194444444</v>
      </c>
      <c r="C8615" s="1" t="n">
        <v>46011</v>
      </c>
      <c r="D8615" t="inlineStr">
        <is>
          <t>VÄSTRA GÖTALANDS LÄN</t>
        </is>
      </c>
      <c r="E8615" t="inlineStr">
        <is>
          <t>ALINGSÅS</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58398-2025</t>
        </is>
      </c>
      <c r="B8616" s="1" t="n">
        <v>45985.56231481482</v>
      </c>
      <c r="C8616" s="1" t="n">
        <v>46011</v>
      </c>
      <c r="D8616" t="inlineStr">
        <is>
          <t>VÄSTRA GÖTALANDS LÄN</t>
        </is>
      </c>
      <c r="E8616" t="inlineStr">
        <is>
          <t>VÅRGÅRDA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39901-2023</t>
        </is>
      </c>
      <c r="B8617" s="1" t="n">
        <v>45168.44300925926</v>
      </c>
      <c r="C8617" s="1" t="n">
        <v>46011</v>
      </c>
      <c r="D8617" t="inlineStr">
        <is>
          <t>VÄSTRA GÖTALANDS LÄN</t>
        </is>
      </c>
      <c r="E8617" t="inlineStr">
        <is>
          <t>TANUM</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58416-2025</t>
        </is>
      </c>
      <c r="B8618" s="1" t="n">
        <v>45985</v>
      </c>
      <c r="C8618" s="1" t="n">
        <v>46011</v>
      </c>
      <c r="D8618" t="inlineStr">
        <is>
          <t>VÄSTRA GÖTALANDS LÄN</t>
        </is>
      </c>
      <c r="E8618" t="inlineStr">
        <is>
          <t>UDDEVALLA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58444-2025</t>
        </is>
      </c>
      <c r="B8619" s="1" t="n">
        <v>45985.61791666667</v>
      </c>
      <c r="C8619" s="1" t="n">
        <v>46011</v>
      </c>
      <c r="D8619" t="inlineStr">
        <is>
          <t>VÄSTRA GÖTALANDS LÄN</t>
        </is>
      </c>
      <c r="E8619" t="inlineStr">
        <is>
          <t>VÅRGÅRDA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58458-2025</t>
        </is>
      </c>
      <c r="B8620" s="1" t="n">
        <v>45985.63568287037</v>
      </c>
      <c r="C8620" s="1" t="n">
        <v>46011</v>
      </c>
      <c r="D8620" t="inlineStr">
        <is>
          <t>VÄSTRA GÖTALANDS LÄN</t>
        </is>
      </c>
      <c r="E8620" t="inlineStr">
        <is>
          <t>BENGTSFORS</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55997-2021</t>
        </is>
      </c>
      <c r="B8621" s="1" t="n">
        <v>44477</v>
      </c>
      <c r="C8621" s="1" t="n">
        <v>46011</v>
      </c>
      <c r="D8621" t="inlineStr">
        <is>
          <t>VÄSTRA GÖTALANDS LÄN</t>
        </is>
      </c>
      <c r="E8621" t="inlineStr">
        <is>
          <t>ULRICEHAMN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27577-2021</t>
        </is>
      </c>
      <c r="B8622" s="1" t="n">
        <v>44353.76177083333</v>
      </c>
      <c r="C8622" s="1" t="n">
        <v>46011</v>
      </c>
      <c r="D8622" t="inlineStr">
        <is>
          <t>VÄSTRA GÖTALANDS LÄN</t>
        </is>
      </c>
      <c r="E8622" t="inlineStr">
        <is>
          <t>SKÖVDE</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40887-2025</t>
        </is>
      </c>
      <c r="B8623" s="1" t="n">
        <v>45897.60409722223</v>
      </c>
      <c r="C8623" s="1" t="n">
        <v>46011</v>
      </c>
      <c r="D8623" t="inlineStr">
        <is>
          <t>VÄSTRA GÖTALANDS LÄN</t>
        </is>
      </c>
      <c r="E8623" t="inlineStr">
        <is>
          <t>TRANEMO</t>
        </is>
      </c>
      <c r="F8623" t="inlineStr">
        <is>
          <t>Sveaskog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49466-2025</t>
        </is>
      </c>
      <c r="B8624" s="1" t="n">
        <v>45939.33797453704</v>
      </c>
      <c r="C8624" s="1" t="n">
        <v>46011</v>
      </c>
      <c r="D8624" t="inlineStr">
        <is>
          <t>VÄSTRA GÖTALANDS LÄN</t>
        </is>
      </c>
      <c r="E8624" t="inlineStr">
        <is>
          <t>ULRICEHAMN</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49485-2025</t>
        </is>
      </c>
      <c r="B8625" s="1" t="n">
        <v>45939.36217592593</v>
      </c>
      <c r="C8625" s="1" t="n">
        <v>46011</v>
      </c>
      <c r="D8625" t="inlineStr">
        <is>
          <t>VÄSTRA GÖTALANDS LÄN</t>
        </is>
      </c>
      <c r="E8625" t="inlineStr">
        <is>
          <t>ULRICEHAMN</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26834-2021</t>
        </is>
      </c>
      <c r="B8626" s="1" t="n">
        <v>44349.57731481481</v>
      </c>
      <c r="C8626" s="1" t="n">
        <v>46011</v>
      </c>
      <c r="D8626" t="inlineStr">
        <is>
          <t>VÄSTRA GÖTALANDS LÄN</t>
        </is>
      </c>
      <c r="E8626" t="inlineStr">
        <is>
          <t>BENGTSFORS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50062-2025</t>
        </is>
      </c>
      <c r="B8627" s="1" t="n">
        <v>45942</v>
      </c>
      <c r="C8627" s="1" t="n">
        <v>46011</v>
      </c>
      <c r="D8627" t="inlineStr">
        <is>
          <t>VÄSTRA GÖTALANDS LÄN</t>
        </is>
      </c>
      <c r="E8627" t="inlineStr">
        <is>
          <t>TANUM</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50105-2025</t>
        </is>
      </c>
      <c r="B8628" s="1" t="n">
        <v>45943.53577546297</v>
      </c>
      <c r="C8628" s="1" t="n">
        <v>46011</v>
      </c>
      <c r="D8628" t="inlineStr">
        <is>
          <t>VÄSTRA GÖTALANDS LÄN</t>
        </is>
      </c>
      <c r="E8628" t="inlineStr">
        <is>
          <t>BENGTSFORS</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38587-2025</t>
        </is>
      </c>
      <c r="B8629" s="1" t="n">
        <v>45884.47306712963</v>
      </c>
      <c r="C8629" s="1" t="n">
        <v>46011</v>
      </c>
      <c r="D8629" t="inlineStr">
        <is>
          <t>VÄSTRA GÖTALANDS LÄN</t>
        </is>
      </c>
      <c r="E8629" t="inlineStr">
        <is>
          <t>MARK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18043-2021</t>
        </is>
      </c>
      <c r="B8630" s="1" t="n">
        <v>44301</v>
      </c>
      <c r="C8630" s="1" t="n">
        <v>46011</v>
      </c>
      <c r="D8630" t="inlineStr">
        <is>
          <t>VÄSTRA GÖTALANDS LÄN</t>
        </is>
      </c>
      <c r="E8630" t="inlineStr">
        <is>
          <t>STRÖMSTAD</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25928-2023</t>
        </is>
      </c>
      <c r="B8631" s="1" t="n">
        <v>45090.67364583333</v>
      </c>
      <c r="C8631" s="1" t="n">
        <v>46011</v>
      </c>
      <c r="D8631" t="inlineStr">
        <is>
          <t>VÄSTRA GÖTALANDS LÄN</t>
        </is>
      </c>
      <c r="E8631" t="inlineStr">
        <is>
          <t>BOLLEBYGD</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38340-2022</t>
        </is>
      </c>
      <c r="B8632" s="1" t="n">
        <v>44812</v>
      </c>
      <c r="C8632" s="1" t="n">
        <v>46011</v>
      </c>
      <c r="D8632" t="inlineStr">
        <is>
          <t>VÄSTRA GÖTALANDS LÄN</t>
        </is>
      </c>
      <c r="E8632" t="inlineStr">
        <is>
          <t>ULRICEHAMN</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56335-2025</t>
        </is>
      </c>
      <c r="B8633" s="1" t="n">
        <v>45974.64454861111</v>
      </c>
      <c r="C8633" s="1" t="n">
        <v>46011</v>
      </c>
      <c r="D8633" t="inlineStr">
        <is>
          <t>VÄSTRA GÖTALANDS LÄN</t>
        </is>
      </c>
      <c r="E8633" t="inlineStr">
        <is>
          <t>ULRICEHAMN</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51314-2023</t>
        </is>
      </c>
      <c r="B8634" s="1" t="n">
        <v>45219</v>
      </c>
      <c r="C8634" s="1" t="n">
        <v>46011</v>
      </c>
      <c r="D8634" t="inlineStr">
        <is>
          <t>VÄSTRA GÖTALANDS LÄN</t>
        </is>
      </c>
      <c r="E8634" t="inlineStr">
        <is>
          <t>BOLLEBYGD</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58412-2025</t>
        </is>
      </c>
      <c r="B8635" s="1" t="n">
        <v>45985.57564814815</v>
      </c>
      <c r="C8635" s="1" t="n">
        <v>46011</v>
      </c>
      <c r="D8635" t="inlineStr">
        <is>
          <t>VÄSTRA GÖTALANDS LÄN</t>
        </is>
      </c>
      <c r="E8635" t="inlineStr">
        <is>
          <t>ALE</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50069-2025</t>
        </is>
      </c>
      <c r="B8636" s="1" t="n">
        <v>45943</v>
      </c>
      <c r="C8636" s="1" t="n">
        <v>46011</v>
      </c>
      <c r="D8636" t="inlineStr">
        <is>
          <t>VÄSTRA GÖTALANDS LÄN</t>
        </is>
      </c>
      <c r="E8636" t="inlineStr">
        <is>
          <t>BORÅS</t>
        </is>
      </c>
      <c r="F8636" t="inlineStr">
        <is>
          <t>Kommuner</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50145-2025</t>
        </is>
      </c>
      <c r="B8637" s="1" t="n">
        <v>45943.57131944445</v>
      </c>
      <c r="C8637" s="1" t="n">
        <v>46011</v>
      </c>
      <c r="D8637" t="inlineStr">
        <is>
          <t>VÄSTRA GÖTALANDS LÄN</t>
        </is>
      </c>
      <c r="E8637" t="inlineStr">
        <is>
          <t>VÄNERSBORG</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50149-2025</t>
        </is>
      </c>
      <c r="B8638" s="1" t="n">
        <v>45943.57349537037</v>
      </c>
      <c r="C8638" s="1" t="n">
        <v>46011</v>
      </c>
      <c r="D8638" t="inlineStr">
        <is>
          <t>VÄSTRA GÖTALANDS LÄN</t>
        </is>
      </c>
      <c r="E8638" t="inlineStr">
        <is>
          <t>BENGTSFORS</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45612-2025</t>
        </is>
      </c>
      <c r="B8639" s="1" t="n">
        <v>45922.7187037037</v>
      </c>
      <c r="C8639" s="1" t="n">
        <v>46011</v>
      </c>
      <c r="D8639" t="inlineStr">
        <is>
          <t>VÄSTRA GÖTALANDS LÄN</t>
        </is>
      </c>
      <c r="E8639" t="inlineStr">
        <is>
          <t>ALINGSÅS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9732-2023</t>
        </is>
      </c>
      <c r="B8640" s="1" t="n">
        <v>44978</v>
      </c>
      <c r="C8640" s="1" t="n">
        <v>46011</v>
      </c>
      <c r="D8640" t="inlineStr">
        <is>
          <t>VÄSTRA GÖTALANDS LÄN</t>
        </is>
      </c>
      <c r="E8640" t="inlineStr">
        <is>
          <t>VÄNERSBORG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52713-2023</t>
        </is>
      </c>
      <c r="B8641" s="1" t="n">
        <v>45225.85532407407</v>
      </c>
      <c r="C8641" s="1" t="n">
        <v>46011</v>
      </c>
      <c r="D8641" t="inlineStr">
        <is>
          <t>VÄSTRA GÖTALANDS LÄN</t>
        </is>
      </c>
      <c r="E8641" t="inlineStr">
        <is>
          <t>ULRICEHAMN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58515-2025</t>
        </is>
      </c>
      <c r="B8642" s="1" t="n">
        <v>45985.70537037037</v>
      </c>
      <c r="C8642" s="1" t="n">
        <v>46011</v>
      </c>
      <c r="D8642" t="inlineStr">
        <is>
          <t>VÄSTRA GÖTALANDS LÄN</t>
        </is>
      </c>
      <c r="E8642" t="inlineStr">
        <is>
          <t>MUNKEDAL</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50883-2025</t>
        </is>
      </c>
      <c r="B8643" s="1" t="n">
        <v>45946.63247685185</v>
      </c>
      <c r="C8643" s="1" t="n">
        <v>46011</v>
      </c>
      <c r="D8643" t="inlineStr">
        <is>
          <t>VÄSTRA GÖTALANDS LÄN</t>
        </is>
      </c>
      <c r="E8643" t="inlineStr">
        <is>
          <t>FÄRGELANDA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50895-2025</t>
        </is>
      </c>
      <c r="B8644" s="1" t="n">
        <v>45946.64105324074</v>
      </c>
      <c r="C8644" s="1" t="n">
        <v>46011</v>
      </c>
      <c r="D8644" t="inlineStr">
        <is>
          <t>VÄSTRA GÖTALANDS LÄN</t>
        </is>
      </c>
      <c r="E8644" t="inlineStr">
        <is>
          <t>BORÅS</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5759-2025</t>
        </is>
      </c>
      <c r="B8645" s="1" t="n">
        <v>45694.56876157408</v>
      </c>
      <c r="C8645" s="1" t="n">
        <v>46011</v>
      </c>
      <c r="D8645" t="inlineStr">
        <is>
          <t>VÄSTRA GÖTALANDS LÄN</t>
        </is>
      </c>
      <c r="E8645" t="inlineStr">
        <is>
          <t>BENGTSFORS</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42874-2022</t>
        </is>
      </c>
      <c r="B8646" s="1" t="n">
        <v>44832</v>
      </c>
      <c r="C8646" s="1" t="n">
        <v>46011</v>
      </c>
      <c r="D8646" t="inlineStr">
        <is>
          <t>VÄSTRA GÖTALANDS LÄN</t>
        </is>
      </c>
      <c r="E8646" t="inlineStr">
        <is>
          <t>SKARA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5158-2025</t>
        </is>
      </c>
      <c r="B8647" s="1" t="n">
        <v>45691.60722222222</v>
      </c>
      <c r="C8647" s="1" t="n">
        <v>46011</v>
      </c>
      <c r="D8647" t="inlineStr">
        <is>
          <t>VÄSTRA GÖTALANDS LÄN</t>
        </is>
      </c>
      <c r="E8647" t="inlineStr">
        <is>
          <t>ULRICEHAMN</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5159-2025</t>
        </is>
      </c>
      <c r="B8648" s="1" t="n">
        <v>45691.60857638889</v>
      </c>
      <c r="C8648" s="1" t="n">
        <v>46011</v>
      </c>
      <c r="D8648" t="inlineStr">
        <is>
          <t>VÄSTRA GÖTALANDS LÄN</t>
        </is>
      </c>
      <c r="E8648" t="inlineStr">
        <is>
          <t>ULRICEHAMN</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32239-2021</t>
        </is>
      </c>
      <c r="B8649" s="1" t="n">
        <v>44371</v>
      </c>
      <c r="C8649" s="1" t="n">
        <v>46011</v>
      </c>
      <c r="D8649" t="inlineStr">
        <is>
          <t>VÄSTRA GÖTALANDS LÄN</t>
        </is>
      </c>
      <c r="E8649" t="inlineStr">
        <is>
          <t>BENGTSFORS</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50487-2025</t>
        </is>
      </c>
      <c r="B8650" s="1" t="n">
        <v>45945.39131944445</v>
      </c>
      <c r="C8650" s="1" t="n">
        <v>46011</v>
      </c>
      <c r="D8650" t="inlineStr">
        <is>
          <t>VÄSTRA GÖTALANDS LÄN</t>
        </is>
      </c>
      <c r="E8650" t="inlineStr">
        <is>
          <t>BENGTSFORS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50884-2025</t>
        </is>
      </c>
      <c r="B8651" s="1" t="n">
        <v>45946</v>
      </c>
      <c r="C8651" s="1" t="n">
        <v>46011</v>
      </c>
      <c r="D8651" t="inlineStr">
        <is>
          <t>VÄSTRA GÖTALANDS LÄN</t>
        </is>
      </c>
      <c r="E8651" t="inlineStr">
        <is>
          <t>VÄNERSBORG</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50586-2025</t>
        </is>
      </c>
      <c r="B8652" s="1" t="n">
        <v>45945.59425925926</v>
      </c>
      <c r="C8652" s="1" t="n">
        <v>46011</v>
      </c>
      <c r="D8652" t="inlineStr">
        <is>
          <t>VÄSTRA GÖTALANDS LÄN</t>
        </is>
      </c>
      <c r="E8652" t="inlineStr">
        <is>
          <t>UDDEVALLA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58833-2025</t>
        </is>
      </c>
      <c r="B8653" s="1" t="n">
        <v>45987.35474537037</v>
      </c>
      <c r="C8653" s="1" t="n">
        <v>46011</v>
      </c>
      <c r="D8653" t="inlineStr">
        <is>
          <t>VÄSTRA GÖTALANDS LÄN</t>
        </is>
      </c>
      <c r="E8653" t="inlineStr">
        <is>
          <t>VÅRGÅRDA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58870-2025</t>
        </is>
      </c>
      <c r="B8654" s="1" t="n">
        <v>45987.46042824074</v>
      </c>
      <c r="C8654" s="1" t="n">
        <v>46011</v>
      </c>
      <c r="D8654" t="inlineStr">
        <is>
          <t>VÄSTRA GÖTALANDS LÄN</t>
        </is>
      </c>
      <c r="E8654" t="inlineStr">
        <is>
          <t>TANUM</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58873-2025</t>
        </is>
      </c>
      <c r="B8655" s="1" t="n">
        <v>45987.46575231481</v>
      </c>
      <c r="C8655" s="1" t="n">
        <v>46011</v>
      </c>
      <c r="D8655" t="inlineStr">
        <is>
          <t>VÄSTRA GÖTALANDS LÄN</t>
        </is>
      </c>
      <c r="E8655" t="inlineStr">
        <is>
          <t>TANUM</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7053-2025</t>
        </is>
      </c>
      <c r="B8656" s="1" t="n">
        <v>45701.64710648148</v>
      </c>
      <c r="C8656" s="1" t="n">
        <v>46011</v>
      </c>
      <c r="D8656" t="inlineStr">
        <is>
          <t>VÄSTRA GÖTALANDS LÄN</t>
        </is>
      </c>
      <c r="E8656" t="inlineStr">
        <is>
          <t>MARK</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25399-2023</t>
        </is>
      </c>
      <c r="B8657" s="1" t="n">
        <v>45089</v>
      </c>
      <c r="C8657" s="1" t="n">
        <v>46011</v>
      </c>
      <c r="D8657" t="inlineStr">
        <is>
          <t>VÄSTRA GÖTALANDS LÄN</t>
        </is>
      </c>
      <c r="E8657" t="inlineStr">
        <is>
          <t>MELLERUD</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69067-2020</t>
        </is>
      </c>
      <c r="B8658" s="1" t="n">
        <v>44188</v>
      </c>
      <c r="C8658" s="1" t="n">
        <v>46011</v>
      </c>
      <c r="D8658" t="inlineStr">
        <is>
          <t>VÄSTRA GÖTALANDS LÄN</t>
        </is>
      </c>
      <c r="E8658" t="inlineStr">
        <is>
          <t>BORÅS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50943-2025</t>
        </is>
      </c>
      <c r="B8659" s="1" t="n">
        <v>45946.72012731482</v>
      </c>
      <c r="C8659" s="1" t="n">
        <v>46011</v>
      </c>
      <c r="D8659" t="inlineStr">
        <is>
          <t>VÄSTRA GÖTALANDS LÄN</t>
        </is>
      </c>
      <c r="E8659" t="inlineStr">
        <is>
          <t>DALS-ED</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402-2022</t>
        </is>
      </c>
      <c r="B8660" s="1" t="n">
        <v>44565.71667824074</v>
      </c>
      <c r="C8660" s="1" t="n">
        <v>46011</v>
      </c>
      <c r="D8660" t="inlineStr">
        <is>
          <t>VÄSTRA GÖTALANDS LÄN</t>
        </is>
      </c>
      <c r="E8660" t="inlineStr">
        <is>
          <t>ULRICEHAMN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58866-2025</t>
        </is>
      </c>
      <c r="B8661" s="1" t="n">
        <v>45987.44790509259</v>
      </c>
      <c r="C8661" s="1" t="n">
        <v>46011</v>
      </c>
      <c r="D8661" t="inlineStr">
        <is>
          <t>VÄSTRA GÖTALANDS LÄN</t>
        </is>
      </c>
      <c r="E8661" t="inlineStr">
        <is>
          <t>VÅRGÅRDA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58869-2025</t>
        </is>
      </c>
      <c r="B8662" s="1" t="n">
        <v>45987.45971064815</v>
      </c>
      <c r="C8662" s="1" t="n">
        <v>46011</v>
      </c>
      <c r="D8662" t="inlineStr">
        <is>
          <t>VÄSTRA GÖTALANDS LÄN</t>
        </is>
      </c>
      <c r="E8662" t="inlineStr">
        <is>
          <t>FÄRGELANDA</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4759-2025</t>
        </is>
      </c>
      <c r="B8663" s="1" t="n">
        <v>45688.47086805556</v>
      </c>
      <c r="C8663" s="1" t="n">
        <v>46011</v>
      </c>
      <c r="D8663" t="inlineStr">
        <is>
          <t>VÄSTRA GÖTALANDS LÄN</t>
        </is>
      </c>
      <c r="E8663" t="inlineStr">
        <is>
          <t>ULRICEHAMN</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50789-2025</t>
        </is>
      </c>
      <c r="B8664" s="1" t="n">
        <v>45946.47084490741</v>
      </c>
      <c r="C8664" s="1" t="n">
        <v>46011</v>
      </c>
      <c r="D8664" t="inlineStr">
        <is>
          <t>VÄSTRA GÖTALANDS LÄN</t>
        </is>
      </c>
      <c r="E8664" t="inlineStr">
        <is>
          <t>SVENLJUNGA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38792-2024</t>
        </is>
      </c>
      <c r="B8665" s="1" t="n">
        <v>45547.48993055556</v>
      </c>
      <c r="C8665" s="1" t="n">
        <v>46011</v>
      </c>
      <c r="D8665" t="inlineStr">
        <is>
          <t>VÄSTRA GÖTALANDS LÄN</t>
        </is>
      </c>
      <c r="E8665" t="inlineStr">
        <is>
          <t>TIBRO</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38645-2025</t>
        </is>
      </c>
      <c r="B8666" s="1" t="n">
        <v>45884.57773148148</v>
      </c>
      <c r="C8666" s="1" t="n">
        <v>46011</v>
      </c>
      <c r="D8666" t="inlineStr">
        <is>
          <t>VÄSTRA GÖTALANDS LÄN</t>
        </is>
      </c>
      <c r="E8666" t="inlineStr">
        <is>
          <t>SVENLJUNGA</t>
        </is>
      </c>
      <c r="G8666" t="n">
        <v>18.8</v>
      </c>
      <c r="H8666" t="n">
        <v>0</v>
      </c>
      <c r="I8666" t="n">
        <v>0</v>
      </c>
      <c r="J8666" t="n">
        <v>0</v>
      </c>
      <c r="K8666" t="n">
        <v>0</v>
      </c>
      <c r="L8666" t="n">
        <v>0</v>
      </c>
      <c r="M8666" t="n">
        <v>0</v>
      </c>
      <c r="N8666" t="n">
        <v>0</v>
      </c>
      <c r="O8666" t="n">
        <v>0</v>
      </c>
      <c r="P8666" t="n">
        <v>0</v>
      </c>
      <c r="Q8666" t="n">
        <v>0</v>
      </c>
      <c r="R8666" s="2" t="inlineStr"/>
    </row>
    <row r="8667" ht="15" customHeight="1">
      <c r="A8667" t="inlineStr">
        <is>
          <t>A 8545-2025</t>
        </is>
      </c>
      <c r="B8667" s="1" t="n">
        <v>45709.60859953704</v>
      </c>
      <c r="C8667" s="1" t="n">
        <v>46011</v>
      </c>
      <c r="D8667" t="inlineStr">
        <is>
          <t>VÄSTRA GÖTALANDS LÄN</t>
        </is>
      </c>
      <c r="E8667" t="inlineStr">
        <is>
          <t>TIDAHOLM</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9564-2025</t>
        </is>
      </c>
      <c r="B8668" s="1" t="n">
        <v>45715.6139699074</v>
      </c>
      <c r="C8668" s="1" t="n">
        <v>46011</v>
      </c>
      <c r="D8668" t="inlineStr">
        <is>
          <t>VÄSTRA GÖTALANDS LÄN</t>
        </is>
      </c>
      <c r="E8668" t="inlineStr">
        <is>
          <t>TRANEMO</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27841-2023</t>
        </is>
      </c>
      <c r="B8669" s="1" t="n">
        <v>45098.55013888889</v>
      </c>
      <c r="C8669" s="1" t="n">
        <v>46011</v>
      </c>
      <c r="D8669" t="inlineStr">
        <is>
          <t>VÄSTRA GÖTALANDS LÄN</t>
        </is>
      </c>
      <c r="E8669" t="inlineStr">
        <is>
          <t>FÄRGELANDA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50647-2021</t>
        </is>
      </c>
      <c r="B8670" s="1" t="n">
        <v>44459</v>
      </c>
      <c r="C8670" s="1" t="n">
        <v>46011</v>
      </c>
      <c r="D8670" t="inlineStr">
        <is>
          <t>VÄSTRA GÖTALANDS LÄN</t>
        </is>
      </c>
      <c r="E8670" t="inlineStr">
        <is>
          <t>BOLLEBYGD</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59137-2025</t>
        </is>
      </c>
      <c r="B8671" s="1" t="n">
        <v>45988.50035879629</v>
      </c>
      <c r="C8671" s="1" t="n">
        <v>46011</v>
      </c>
      <c r="D8671" t="inlineStr">
        <is>
          <t>VÄSTRA GÖTALANDS LÄN</t>
        </is>
      </c>
      <c r="E8671" t="inlineStr">
        <is>
          <t>BENGTSFORS</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50616-2025</t>
        </is>
      </c>
      <c r="B8672" s="1" t="n">
        <v>45945.62936342593</v>
      </c>
      <c r="C8672" s="1" t="n">
        <v>46011</v>
      </c>
      <c r="D8672" t="inlineStr">
        <is>
          <t>VÄSTRA GÖTALANDS LÄN</t>
        </is>
      </c>
      <c r="E8672" t="inlineStr">
        <is>
          <t>FALKÖPING</t>
        </is>
      </c>
      <c r="F8672" t="inlineStr">
        <is>
          <t>Sveaskog</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36493-2022</t>
        </is>
      </c>
      <c r="B8673" s="1" t="n">
        <v>44804.46896990741</v>
      </c>
      <c r="C8673" s="1" t="n">
        <v>46011</v>
      </c>
      <c r="D8673" t="inlineStr">
        <is>
          <t>VÄSTRA GÖTALANDS LÄN</t>
        </is>
      </c>
      <c r="E8673" t="inlineStr">
        <is>
          <t>SVENLJUNGA</t>
        </is>
      </c>
      <c r="G8673" t="n">
        <v>6.3</v>
      </c>
      <c r="H8673" t="n">
        <v>0</v>
      </c>
      <c r="I8673" t="n">
        <v>0</v>
      </c>
      <c r="J8673" t="n">
        <v>0</v>
      </c>
      <c r="K8673" t="n">
        <v>0</v>
      </c>
      <c r="L8673" t="n">
        <v>0</v>
      </c>
      <c r="M8673" t="n">
        <v>0</v>
      </c>
      <c r="N8673" t="n">
        <v>0</v>
      </c>
      <c r="O8673" t="n">
        <v>0</v>
      </c>
      <c r="P8673" t="n">
        <v>0</v>
      </c>
      <c r="Q8673" t="n">
        <v>0</v>
      </c>
      <c r="R8673" s="2" t="inlineStr"/>
    </row>
    <row r="8674" ht="15" customHeight="1">
      <c r="A8674" t="inlineStr">
        <is>
          <t>A 50626-2025</t>
        </is>
      </c>
      <c r="B8674" s="1" t="n">
        <v>45945.63623842593</v>
      </c>
      <c r="C8674" s="1" t="n">
        <v>46011</v>
      </c>
      <c r="D8674" t="inlineStr">
        <is>
          <t>VÄSTRA GÖTALANDS LÄN</t>
        </is>
      </c>
      <c r="E8674" t="inlineStr">
        <is>
          <t>STRÖMSTAD</t>
        </is>
      </c>
      <c r="F8674" t="inlineStr">
        <is>
          <t>Övriga Aktiebolag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56512-2024</t>
        </is>
      </c>
      <c r="B8675" s="1" t="n">
        <v>45625</v>
      </c>
      <c r="C8675" s="1" t="n">
        <v>46011</v>
      </c>
      <c r="D8675" t="inlineStr">
        <is>
          <t>VÄSTRA GÖTALANDS LÄN</t>
        </is>
      </c>
      <c r="E8675" t="inlineStr">
        <is>
          <t>GULLSPÅNG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50736-2025</t>
        </is>
      </c>
      <c r="B8676" s="1" t="n">
        <v>45946.36873842592</v>
      </c>
      <c r="C8676" s="1" t="n">
        <v>46011</v>
      </c>
      <c r="D8676" t="inlineStr">
        <is>
          <t>VÄSTRA GÖTALANDS LÄN</t>
        </is>
      </c>
      <c r="E8676" t="inlineStr">
        <is>
          <t>GULLSPÅNG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50932-2025</t>
        </is>
      </c>
      <c r="B8677" s="1" t="n">
        <v>45946.68842592592</v>
      </c>
      <c r="C8677" s="1" t="n">
        <v>46011</v>
      </c>
      <c r="D8677" t="inlineStr">
        <is>
          <t>VÄSTRA GÖTALANDS LÄN</t>
        </is>
      </c>
      <c r="E8677" t="inlineStr">
        <is>
          <t>HJO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50901-2025</t>
        </is>
      </c>
      <c r="B8678" s="1" t="n">
        <v>45946.64501157407</v>
      </c>
      <c r="C8678" s="1" t="n">
        <v>46011</v>
      </c>
      <c r="D8678" t="inlineStr">
        <is>
          <t>VÄSTRA GÖTALANDS LÄN</t>
        </is>
      </c>
      <c r="E8678" t="inlineStr">
        <is>
          <t>VÄNERSBORG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30362-2024</t>
        </is>
      </c>
      <c r="B8679" s="1" t="n">
        <v>45491.35975694445</v>
      </c>
      <c r="C8679" s="1" t="n">
        <v>46011</v>
      </c>
      <c r="D8679" t="inlineStr">
        <is>
          <t>VÄSTRA GÖTALANDS LÄN</t>
        </is>
      </c>
      <c r="E8679" t="inlineStr">
        <is>
          <t>VÅRGÅRDA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9380-2025</t>
        </is>
      </c>
      <c r="B8680" s="1" t="n">
        <v>45715.34340277778</v>
      </c>
      <c r="C8680" s="1" t="n">
        <v>46011</v>
      </c>
      <c r="D8680" t="inlineStr">
        <is>
          <t>VÄSTRA GÖTALANDS LÄN</t>
        </is>
      </c>
      <c r="E8680" t="inlineStr">
        <is>
          <t>VARA</t>
        </is>
      </c>
      <c r="F8680" t="inlineStr">
        <is>
          <t>Kyrkan</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58304-2025</t>
        </is>
      </c>
      <c r="B8681" s="1" t="n">
        <v>45982</v>
      </c>
      <c r="C8681" s="1" t="n">
        <v>46011</v>
      </c>
      <c r="D8681" t="inlineStr">
        <is>
          <t>VÄSTRA GÖTALANDS LÄN</t>
        </is>
      </c>
      <c r="E8681" t="inlineStr">
        <is>
          <t>BORÅS</t>
        </is>
      </c>
      <c r="F8681" t="inlineStr">
        <is>
          <t>Kommuner</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59042-2025</t>
        </is>
      </c>
      <c r="B8682" s="1" t="n">
        <v>45988.37216435185</v>
      </c>
      <c r="C8682" s="1" t="n">
        <v>46011</v>
      </c>
      <c r="D8682" t="inlineStr">
        <is>
          <t>VÄSTRA GÖTALANDS LÄN</t>
        </is>
      </c>
      <c r="E8682" t="inlineStr">
        <is>
          <t>VÅRGÅRDA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50891-2025</t>
        </is>
      </c>
      <c r="B8683" s="1" t="n">
        <v>45946.63685185185</v>
      </c>
      <c r="C8683" s="1" t="n">
        <v>46011</v>
      </c>
      <c r="D8683" t="inlineStr">
        <is>
          <t>VÄSTRA GÖTALANDS LÄN</t>
        </is>
      </c>
      <c r="E8683" t="inlineStr">
        <is>
          <t>VÄNERSBORG</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59215-2025</t>
        </is>
      </c>
      <c r="B8684" s="1" t="n">
        <v>45988.61628472222</v>
      </c>
      <c r="C8684" s="1" t="n">
        <v>46011</v>
      </c>
      <c r="D8684" t="inlineStr">
        <is>
          <t>VÄSTRA GÖTALANDS LÄN</t>
        </is>
      </c>
      <c r="E8684" t="inlineStr">
        <is>
          <t>ULRICEHAMN</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59252-2025</t>
        </is>
      </c>
      <c r="B8685" s="1" t="n">
        <v>45988.65092592593</v>
      </c>
      <c r="C8685" s="1" t="n">
        <v>46011</v>
      </c>
      <c r="D8685" t="inlineStr">
        <is>
          <t>VÄSTRA GÖTALANDS LÄN</t>
        </is>
      </c>
      <c r="E8685" t="inlineStr">
        <is>
          <t>TROLLHÄTTAN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59269-2025</t>
        </is>
      </c>
      <c r="B8686" s="1" t="n">
        <v>45988.68052083333</v>
      </c>
      <c r="C8686" s="1" t="n">
        <v>46011</v>
      </c>
      <c r="D8686" t="inlineStr">
        <is>
          <t>VÄSTRA GÖTALANDS LÄN</t>
        </is>
      </c>
      <c r="E8686" t="inlineStr">
        <is>
          <t>MELLERUD</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37917-2024</t>
        </is>
      </c>
      <c r="B8687" s="1" t="n">
        <v>45544.47037037037</v>
      </c>
      <c r="C8687" s="1" t="n">
        <v>46011</v>
      </c>
      <c r="D8687" t="inlineStr">
        <is>
          <t>VÄSTRA GÖTALANDS LÄN</t>
        </is>
      </c>
      <c r="E8687" t="inlineStr">
        <is>
          <t>MARIESTAD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37953-2024</t>
        </is>
      </c>
      <c r="B8688" s="1" t="n">
        <v>45544.52134259259</v>
      </c>
      <c r="C8688" s="1" t="n">
        <v>46011</v>
      </c>
      <c r="D8688" t="inlineStr">
        <is>
          <t>VÄSTRA GÖTALANDS LÄN</t>
        </is>
      </c>
      <c r="E8688" t="inlineStr">
        <is>
          <t>TANUM</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49078-2025</t>
        </is>
      </c>
      <c r="B8689" s="1" t="n">
        <v>45937.66010416667</v>
      </c>
      <c r="C8689" s="1" t="n">
        <v>46011</v>
      </c>
      <c r="D8689" t="inlineStr">
        <is>
          <t>VÄSTRA GÖTALANDS LÄN</t>
        </is>
      </c>
      <c r="E8689" t="inlineStr">
        <is>
          <t>BORÅS</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34759-2021</t>
        </is>
      </c>
      <c r="B8690" s="1" t="n">
        <v>44382</v>
      </c>
      <c r="C8690" s="1" t="n">
        <v>46011</v>
      </c>
      <c r="D8690" t="inlineStr">
        <is>
          <t>VÄSTRA GÖTALANDS LÄN</t>
        </is>
      </c>
      <c r="E8690" t="inlineStr">
        <is>
          <t>TANUM</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7315-2025</t>
        </is>
      </c>
      <c r="B8691" s="1" t="n">
        <v>45702.75126157407</v>
      </c>
      <c r="C8691" s="1" t="n">
        <v>46011</v>
      </c>
      <c r="D8691" t="inlineStr">
        <is>
          <t>VÄSTRA GÖTALANDS LÄN</t>
        </is>
      </c>
      <c r="E8691" t="inlineStr">
        <is>
          <t>ULRICEHAMN</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57780-2025</t>
        </is>
      </c>
      <c r="B8692" s="1" t="n">
        <v>45981.57028935185</v>
      </c>
      <c r="C8692" s="1" t="n">
        <v>46011</v>
      </c>
      <c r="D8692" t="inlineStr">
        <is>
          <t>VÄSTRA GÖTALANDS LÄN</t>
        </is>
      </c>
      <c r="E8692" t="inlineStr">
        <is>
          <t>TIDAHOLM</t>
        </is>
      </c>
      <c r="F8692" t="inlineStr">
        <is>
          <t>Sveaskog</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15798-2023</t>
        </is>
      </c>
      <c r="B8693" s="1" t="n">
        <v>45021.84559027778</v>
      </c>
      <c r="C8693" s="1" t="n">
        <v>46011</v>
      </c>
      <c r="D8693" t="inlineStr">
        <is>
          <t>VÄSTRA GÖTALANDS LÄN</t>
        </is>
      </c>
      <c r="E8693" t="inlineStr">
        <is>
          <t>ALINGSÅS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7329-2025</t>
        </is>
      </c>
      <c r="B8694" s="1" t="n">
        <v>45703.32144675926</v>
      </c>
      <c r="C8694" s="1" t="n">
        <v>46011</v>
      </c>
      <c r="D8694" t="inlineStr">
        <is>
          <t>VÄSTRA GÖTALANDS LÄN</t>
        </is>
      </c>
      <c r="E8694" t="inlineStr">
        <is>
          <t>VÅRGÅRDA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50491-2025</t>
        </is>
      </c>
      <c r="B8695" s="1" t="n">
        <v>45945</v>
      </c>
      <c r="C8695" s="1" t="n">
        <v>46011</v>
      </c>
      <c r="D8695" t="inlineStr">
        <is>
          <t>VÄSTRA GÖTALANDS LÄN</t>
        </is>
      </c>
      <c r="E8695" t="inlineStr">
        <is>
          <t>STENUNGSUND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50508-2025</t>
        </is>
      </c>
      <c r="B8696" s="1" t="n">
        <v>45945.43429398148</v>
      </c>
      <c r="C8696" s="1" t="n">
        <v>46011</v>
      </c>
      <c r="D8696" t="inlineStr">
        <is>
          <t>VÄSTRA GÖTALANDS LÄN</t>
        </is>
      </c>
      <c r="E8696" t="inlineStr">
        <is>
          <t>STENUNGSUND</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35765-2021</t>
        </is>
      </c>
      <c r="B8697" s="1" t="n">
        <v>44386</v>
      </c>
      <c r="C8697" s="1" t="n">
        <v>46011</v>
      </c>
      <c r="D8697" t="inlineStr">
        <is>
          <t>VÄSTRA GÖTALANDS LÄN</t>
        </is>
      </c>
      <c r="E8697" t="inlineStr">
        <is>
          <t>SKARA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26091-2023</t>
        </is>
      </c>
      <c r="B8698" s="1" t="n">
        <v>45091</v>
      </c>
      <c r="C8698" s="1" t="n">
        <v>46011</v>
      </c>
      <c r="D8698" t="inlineStr">
        <is>
          <t>VÄSTRA GÖTALANDS LÄN</t>
        </is>
      </c>
      <c r="E8698" t="inlineStr">
        <is>
          <t>SKARA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17932-2023</t>
        </is>
      </c>
      <c r="B8699" s="1" t="n">
        <v>45040</v>
      </c>
      <c r="C8699" s="1" t="n">
        <v>46011</v>
      </c>
      <c r="D8699" t="inlineStr">
        <is>
          <t>VÄSTRA GÖTALANDS LÄN</t>
        </is>
      </c>
      <c r="E8699" t="inlineStr">
        <is>
          <t>VÄNERSBORG</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50590-2025</t>
        </is>
      </c>
      <c r="B8700" s="1" t="n">
        <v>45945.60101851852</v>
      </c>
      <c r="C8700" s="1" t="n">
        <v>46011</v>
      </c>
      <c r="D8700" t="inlineStr">
        <is>
          <t>VÄSTRA GÖTALANDS LÄN</t>
        </is>
      </c>
      <c r="E8700" t="inlineStr">
        <is>
          <t>SKARA</t>
        </is>
      </c>
      <c r="F8700" t="inlineStr">
        <is>
          <t>Sveaskog</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56998-2025</t>
        </is>
      </c>
      <c r="B8701" s="1" t="n">
        <v>45978.73516203704</v>
      </c>
      <c r="C8701" s="1" t="n">
        <v>46011</v>
      </c>
      <c r="D8701" t="inlineStr">
        <is>
          <t>VÄSTRA GÖTALANDS LÄN</t>
        </is>
      </c>
      <c r="E8701" t="inlineStr">
        <is>
          <t>TRANEMO</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26075-2023</t>
        </is>
      </c>
      <c r="B8702" s="1" t="n">
        <v>45091</v>
      </c>
      <c r="C8702" s="1" t="n">
        <v>46011</v>
      </c>
      <c r="D8702" t="inlineStr">
        <is>
          <t>VÄSTRA GÖTALANDS LÄN</t>
        </is>
      </c>
      <c r="E8702" t="inlineStr">
        <is>
          <t>MARK</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17525-2025</t>
        </is>
      </c>
      <c r="B8703" s="1" t="n">
        <v>45757.5817824074</v>
      </c>
      <c r="C8703" s="1" t="n">
        <v>46011</v>
      </c>
      <c r="D8703" t="inlineStr">
        <is>
          <t>VÄSTRA GÖTALANDS LÄN</t>
        </is>
      </c>
      <c r="E8703" t="inlineStr">
        <is>
          <t>STRÖMSTAD</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11576-2024</t>
        </is>
      </c>
      <c r="B8704" s="1" t="n">
        <v>45373.33706018519</v>
      </c>
      <c r="C8704" s="1" t="n">
        <v>46011</v>
      </c>
      <c r="D8704" t="inlineStr">
        <is>
          <t>VÄSTRA GÖTALANDS LÄN</t>
        </is>
      </c>
      <c r="E8704" t="inlineStr">
        <is>
          <t>MARK</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44470-2023</t>
        </is>
      </c>
      <c r="B8705" s="1" t="n">
        <v>45183</v>
      </c>
      <c r="C8705" s="1" t="n">
        <v>46011</v>
      </c>
      <c r="D8705" t="inlineStr">
        <is>
          <t>VÄSTRA GÖTALANDS LÄN</t>
        </is>
      </c>
      <c r="E8705" t="inlineStr">
        <is>
          <t>TRANEMO</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36120-2021</t>
        </is>
      </c>
      <c r="B8706" s="1" t="n">
        <v>44389</v>
      </c>
      <c r="C8706" s="1" t="n">
        <v>46011</v>
      </c>
      <c r="D8706" t="inlineStr">
        <is>
          <t>VÄSTRA GÖTALANDS LÄN</t>
        </is>
      </c>
      <c r="E8706" t="inlineStr">
        <is>
          <t>ALINGSÅS</t>
        </is>
      </c>
      <c r="F8706" t="inlineStr">
        <is>
          <t>Allmännings- och besparingsskogar</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50609-2025</t>
        </is>
      </c>
      <c r="B8707" s="1" t="n">
        <v>45945.6228125</v>
      </c>
      <c r="C8707" s="1" t="n">
        <v>46011</v>
      </c>
      <c r="D8707" t="inlineStr">
        <is>
          <t>VÄSTRA GÖTALANDS LÄN</t>
        </is>
      </c>
      <c r="E8707" t="inlineStr">
        <is>
          <t>UDDEVALLA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15646-2023</t>
        </is>
      </c>
      <c r="B8708" s="1" t="n">
        <v>45021.37828703703</v>
      </c>
      <c r="C8708" s="1" t="n">
        <v>46011</v>
      </c>
      <c r="D8708" t="inlineStr">
        <is>
          <t>VÄSTRA GÖTALANDS LÄN</t>
        </is>
      </c>
      <c r="E8708" t="inlineStr">
        <is>
          <t>GÖTENE</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7356-2025</t>
        </is>
      </c>
      <c r="B8709" s="1" t="n">
        <v>45704.50445601852</v>
      </c>
      <c r="C8709" s="1" t="n">
        <v>46011</v>
      </c>
      <c r="D8709" t="inlineStr">
        <is>
          <t>VÄSTRA GÖTALANDS LÄN</t>
        </is>
      </c>
      <c r="E8709" t="inlineStr">
        <is>
          <t>HÄRRYDA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11881-2023</t>
        </is>
      </c>
      <c r="B8710" s="1" t="n">
        <v>44995</v>
      </c>
      <c r="C8710" s="1" t="n">
        <v>46011</v>
      </c>
      <c r="D8710" t="inlineStr">
        <is>
          <t>VÄSTRA GÖTALANDS LÄN</t>
        </is>
      </c>
      <c r="E8710" t="inlineStr">
        <is>
          <t>HERRLJUNGA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14660-2023</t>
        </is>
      </c>
      <c r="B8711" s="1" t="n">
        <v>45013.91371527778</v>
      </c>
      <c r="C8711" s="1" t="n">
        <v>46011</v>
      </c>
      <c r="D8711" t="inlineStr">
        <is>
          <t>VÄSTRA GÖTALANDS LÄN</t>
        </is>
      </c>
      <c r="E8711" t="inlineStr">
        <is>
          <t>ÅMÅL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47892-2022</t>
        </is>
      </c>
      <c r="B8712" s="1" t="n">
        <v>44855</v>
      </c>
      <c r="C8712" s="1" t="n">
        <v>46011</v>
      </c>
      <c r="D8712" t="inlineStr">
        <is>
          <t>VÄSTRA GÖTALANDS LÄN</t>
        </is>
      </c>
      <c r="E8712" t="inlineStr">
        <is>
          <t>BENGTSFORS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62884-2021</t>
        </is>
      </c>
      <c r="B8713" s="1" t="n">
        <v>44504</v>
      </c>
      <c r="C8713" s="1" t="n">
        <v>46011</v>
      </c>
      <c r="D8713" t="inlineStr">
        <is>
          <t>VÄSTRA GÖTALANDS LÄN</t>
        </is>
      </c>
      <c r="E8713" t="inlineStr">
        <is>
          <t>GÖTEBORG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24785-2023</t>
        </is>
      </c>
      <c r="B8714" s="1" t="n">
        <v>45084.67194444445</v>
      </c>
      <c r="C8714" s="1" t="n">
        <v>46011</v>
      </c>
      <c r="D8714" t="inlineStr">
        <is>
          <t>VÄSTRA GÖTALANDS LÄN</t>
        </is>
      </c>
      <c r="E8714" t="inlineStr">
        <is>
          <t>VÅRGÅRDA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24791-2023</t>
        </is>
      </c>
      <c r="B8715" s="1" t="n">
        <v>45084</v>
      </c>
      <c r="C8715" s="1" t="n">
        <v>46011</v>
      </c>
      <c r="D8715" t="inlineStr">
        <is>
          <t>VÄSTRA GÖTALANDS LÄN</t>
        </is>
      </c>
      <c r="E8715" t="inlineStr">
        <is>
          <t>FÄRGELANDA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28688-2024</t>
        </is>
      </c>
      <c r="B8716" s="1" t="n">
        <v>45478.48899305556</v>
      </c>
      <c r="C8716" s="1" t="n">
        <v>46011</v>
      </c>
      <c r="D8716" t="inlineStr">
        <is>
          <t>VÄSTRA GÖTALANDS LÄN</t>
        </is>
      </c>
      <c r="E8716" t="inlineStr">
        <is>
          <t>ÅMÅL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50611-2025</t>
        </is>
      </c>
      <c r="B8717" s="1" t="n">
        <v>45945.62559027778</v>
      </c>
      <c r="C8717" s="1" t="n">
        <v>46011</v>
      </c>
      <c r="D8717" t="inlineStr">
        <is>
          <t>VÄSTRA GÖTALANDS LÄN</t>
        </is>
      </c>
      <c r="E8717" t="inlineStr">
        <is>
          <t>UDDEVALLA</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50618-2025</t>
        </is>
      </c>
      <c r="B8718" s="1" t="n">
        <v>45945.62994212963</v>
      </c>
      <c r="C8718" s="1" t="n">
        <v>46011</v>
      </c>
      <c r="D8718" t="inlineStr">
        <is>
          <t>VÄSTRA GÖTALANDS LÄN</t>
        </is>
      </c>
      <c r="E8718" t="inlineStr">
        <is>
          <t>FALKÖPING</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50735-2025</t>
        </is>
      </c>
      <c r="B8719" s="1" t="n">
        <v>45946.36746527778</v>
      </c>
      <c r="C8719" s="1" t="n">
        <v>46011</v>
      </c>
      <c r="D8719" t="inlineStr">
        <is>
          <t>VÄSTRA GÖTALANDS LÄN</t>
        </is>
      </c>
      <c r="E8719" t="inlineStr">
        <is>
          <t>DALS-ED</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59237-2025</t>
        </is>
      </c>
      <c r="B8720" s="1" t="n">
        <v>45988.63175925926</v>
      </c>
      <c r="C8720" s="1" t="n">
        <v>46011</v>
      </c>
      <c r="D8720" t="inlineStr">
        <is>
          <t>VÄSTRA GÖTALANDS LÄN</t>
        </is>
      </c>
      <c r="E8720" t="inlineStr">
        <is>
          <t>FALKÖPING</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59240-2025</t>
        </is>
      </c>
      <c r="B8721" s="1" t="n">
        <v>45988.63855324074</v>
      </c>
      <c r="C8721" s="1" t="n">
        <v>46011</v>
      </c>
      <c r="D8721" t="inlineStr">
        <is>
          <t>VÄSTRA GÖTALANDS LÄN</t>
        </is>
      </c>
      <c r="E8721" t="inlineStr">
        <is>
          <t>FALKÖPING</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8306-2025</t>
        </is>
      </c>
      <c r="B8722" s="1" t="n">
        <v>45708.60285879629</v>
      </c>
      <c r="C8722" s="1" t="n">
        <v>46011</v>
      </c>
      <c r="D8722" t="inlineStr">
        <is>
          <t>VÄSTRA GÖTALANDS LÄN</t>
        </is>
      </c>
      <c r="E8722" t="inlineStr">
        <is>
          <t>TRANEMO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50685-2025</t>
        </is>
      </c>
      <c r="B8723" s="1" t="n">
        <v>45945.82289351852</v>
      </c>
      <c r="C8723" s="1" t="n">
        <v>46011</v>
      </c>
      <c r="D8723" t="inlineStr">
        <is>
          <t>VÄSTRA GÖTALANDS LÄN</t>
        </is>
      </c>
      <c r="E8723" t="inlineStr">
        <is>
          <t>VÅRGÅRDA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38180-2023</t>
        </is>
      </c>
      <c r="B8724" s="1" t="n">
        <v>45161.45855324074</v>
      </c>
      <c r="C8724" s="1" t="n">
        <v>46011</v>
      </c>
      <c r="D8724" t="inlineStr">
        <is>
          <t>VÄSTRA GÖTALANDS LÄN</t>
        </is>
      </c>
      <c r="E8724" t="inlineStr">
        <is>
          <t>ULRICEHAMN</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59132-2025</t>
        </is>
      </c>
      <c r="B8725" s="1" t="n">
        <v>45988.49689814815</v>
      </c>
      <c r="C8725" s="1" t="n">
        <v>46011</v>
      </c>
      <c r="D8725" t="inlineStr">
        <is>
          <t>VÄSTRA GÖTALANDS LÄN</t>
        </is>
      </c>
      <c r="E8725" t="inlineStr">
        <is>
          <t>BENGTSFORS</t>
        </is>
      </c>
      <c r="F8725" t="inlineStr">
        <is>
          <t>Kyrkan</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42722-2022</t>
        </is>
      </c>
      <c r="B8726" s="1" t="n">
        <v>44832.42837962963</v>
      </c>
      <c r="C8726" s="1" t="n">
        <v>46011</v>
      </c>
      <c r="D8726" t="inlineStr">
        <is>
          <t>VÄSTRA GÖTALANDS LÄN</t>
        </is>
      </c>
      <c r="E8726" t="inlineStr">
        <is>
          <t>SVENLJUNGA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42756-2022</t>
        </is>
      </c>
      <c r="B8727" s="1" t="n">
        <v>44832</v>
      </c>
      <c r="C8727" s="1" t="n">
        <v>46011</v>
      </c>
      <c r="D8727" t="inlineStr">
        <is>
          <t>VÄSTRA GÖTALANDS LÄN</t>
        </is>
      </c>
      <c r="E8727" t="inlineStr">
        <is>
          <t>TANUM</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58711-2025</t>
        </is>
      </c>
      <c r="B8728" s="1" t="n">
        <v>45986</v>
      </c>
      <c r="C8728" s="1" t="n">
        <v>46011</v>
      </c>
      <c r="D8728" t="inlineStr">
        <is>
          <t>VÄSTRA GÖTALANDS LÄN</t>
        </is>
      </c>
      <c r="E8728" t="inlineStr">
        <is>
          <t>MUNKEDAL</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1198-2025</t>
        </is>
      </c>
      <c r="B8729" s="1" t="n">
        <v>45667.3833912037</v>
      </c>
      <c r="C8729" s="1" t="n">
        <v>46011</v>
      </c>
      <c r="D8729" t="inlineStr">
        <is>
          <t>VÄSTRA GÖTALANDS LÄN</t>
        </is>
      </c>
      <c r="E8729" t="inlineStr">
        <is>
          <t>SKARA</t>
        </is>
      </c>
      <c r="F8729" t="inlineStr">
        <is>
          <t>Sveaskog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58852-2025</t>
        </is>
      </c>
      <c r="B8730" s="1" t="n">
        <v>45987.40355324074</v>
      </c>
      <c r="C8730" s="1" t="n">
        <v>46011</v>
      </c>
      <c r="D8730" t="inlineStr">
        <is>
          <t>VÄSTRA GÖTALANDS LÄN</t>
        </is>
      </c>
      <c r="E8730" t="inlineStr">
        <is>
          <t>ORUST</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17297-2023</t>
        </is>
      </c>
      <c r="B8731" s="1" t="n">
        <v>45035.48894675926</v>
      </c>
      <c r="C8731" s="1" t="n">
        <v>46011</v>
      </c>
      <c r="D8731" t="inlineStr">
        <is>
          <t>VÄSTRA GÖTALANDS LÄN</t>
        </is>
      </c>
      <c r="E8731" t="inlineStr">
        <is>
          <t>TRANEMO</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40205-2022</t>
        </is>
      </c>
      <c r="B8732" s="1" t="n">
        <v>44820</v>
      </c>
      <c r="C8732" s="1" t="n">
        <v>46011</v>
      </c>
      <c r="D8732" t="inlineStr">
        <is>
          <t>VÄSTRA GÖTALANDS LÄN</t>
        </is>
      </c>
      <c r="E8732" t="inlineStr">
        <is>
          <t>SKÖVDE</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31943-2024</t>
        </is>
      </c>
      <c r="B8733" s="1" t="n">
        <v>45510</v>
      </c>
      <c r="C8733" s="1" t="n">
        <v>46011</v>
      </c>
      <c r="D8733" t="inlineStr">
        <is>
          <t>VÄSTRA GÖTALANDS LÄN</t>
        </is>
      </c>
      <c r="E8733" t="inlineStr">
        <is>
          <t>BORÅS</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31967-2024</t>
        </is>
      </c>
      <c r="B8734" s="1" t="n">
        <v>45510</v>
      </c>
      <c r="C8734" s="1" t="n">
        <v>46011</v>
      </c>
      <c r="D8734" t="inlineStr">
        <is>
          <t>VÄSTRA GÖTALANDS LÄN</t>
        </is>
      </c>
      <c r="E8734" t="inlineStr">
        <is>
          <t>VARA</t>
        </is>
      </c>
      <c r="G8734" t="n">
        <v>9.1</v>
      </c>
      <c r="H8734" t="n">
        <v>0</v>
      </c>
      <c r="I8734" t="n">
        <v>0</v>
      </c>
      <c r="J8734" t="n">
        <v>0</v>
      </c>
      <c r="K8734" t="n">
        <v>0</v>
      </c>
      <c r="L8734" t="n">
        <v>0</v>
      </c>
      <c r="M8734" t="n">
        <v>0</v>
      </c>
      <c r="N8734" t="n">
        <v>0</v>
      </c>
      <c r="O8734" t="n">
        <v>0</v>
      </c>
      <c r="P8734" t="n">
        <v>0</v>
      </c>
      <c r="Q8734" t="n">
        <v>0</v>
      </c>
      <c r="R8734" s="2" t="inlineStr"/>
    </row>
    <row r="8735" ht="15" customHeight="1">
      <c r="A8735" t="inlineStr">
        <is>
          <t>A 59154-2025</t>
        </is>
      </c>
      <c r="B8735" s="1" t="n">
        <v>45988.53439814815</v>
      </c>
      <c r="C8735" s="1" t="n">
        <v>46011</v>
      </c>
      <c r="D8735" t="inlineStr">
        <is>
          <t>VÄSTRA GÖTALANDS LÄN</t>
        </is>
      </c>
      <c r="E8735" t="inlineStr">
        <is>
          <t>SVENLJUNGA</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59156-2025</t>
        </is>
      </c>
      <c r="B8736" s="1" t="n">
        <v>45988.54133101852</v>
      </c>
      <c r="C8736" s="1" t="n">
        <v>46011</v>
      </c>
      <c r="D8736" t="inlineStr">
        <is>
          <t>VÄSTRA GÖTALANDS LÄN</t>
        </is>
      </c>
      <c r="E8736" t="inlineStr">
        <is>
          <t>VÅRGÅRDA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50543-2025</t>
        </is>
      </c>
      <c r="B8737" s="1" t="n">
        <v>45945.50262731482</v>
      </c>
      <c r="C8737" s="1" t="n">
        <v>46011</v>
      </c>
      <c r="D8737" t="inlineStr">
        <is>
          <t>VÄSTRA GÖTALANDS LÄN</t>
        </is>
      </c>
      <c r="E8737" t="inlineStr">
        <is>
          <t>STENUNGSUND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50761-2025</t>
        </is>
      </c>
      <c r="B8738" s="1" t="n">
        <v>45946.42431712963</v>
      </c>
      <c r="C8738" s="1" t="n">
        <v>46011</v>
      </c>
      <c r="D8738" t="inlineStr">
        <is>
          <t>VÄSTRA GÖTALANDS LÄN</t>
        </is>
      </c>
      <c r="E8738" t="inlineStr">
        <is>
          <t>TANUM</t>
        </is>
      </c>
      <c r="F8738" t="inlineStr">
        <is>
          <t>Kyrkan</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4307-2025</t>
        </is>
      </c>
      <c r="B8739" s="1" t="n">
        <v>45685.68771990741</v>
      </c>
      <c r="C8739" s="1" t="n">
        <v>46011</v>
      </c>
      <c r="D8739" t="inlineStr">
        <is>
          <t>VÄSTRA GÖTALANDS LÄN</t>
        </is>
      </c>
      <c r="E8739" t="inlineStr">
        <is>
          <t>TROLLHÄTTAN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59296-2025</t>
        </is>
      </c>
      <c r="B8740" s="1" t="n">
        <v>45988</v>
      </c>
      <c r="C8740" s="1" t="n">
        <v>46011</v>
      </c>
      <c r="D8740" t="inlineStr">
        <is>
          <t>VÄSTRA GÖTALANDS LÄN</t>
        </is>
      </c>
      <c r="E8740" t="inlineStr">
        <is>
          <t>UDDEVALLA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50556-2025</t>
        </is>
      </c>
      <c r="B8741" s="1" t="n">
        <v>45945.53465277778</v>
      </c>
      <c r="C8741" s="1" t="n">
        <v>46011</v>
      </c>
      <c r="D8741" t="inlineStr">
        <is>
          <t>VÄSTRA GÖTALANDS LÄN</t>
        </is>
      </c>
      <c r="E8741" t="inlineStr">
        <is>
          <t>TANUM</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50579-2025</t>
        </is>
      </c>
      <c r="B8742" s="1" t="n">
        <v>45945.58449074074</v>
      </c>
      <c r="C8742" s="1" t="n">
        <v>46011</v>
      </c>
      <c r="D8742" t="inlineStr">
        <is>
          <t>VÄSTRA GÖTALANDS LÄN</t>
        </is>
      </c>
      <c r="E8742" t="inlineStr">
        <is>
          <t>STRÖMSTAD</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50580-2025</t>
        </is>
      </c>
      <c r="B8743" s="1" t="n">
        <v>45945.58512731481</v>
      </c>
      <c r="C8743" s="1" t="n">
        <v>46011</v>
      </c>
      <c r="D8743" t="inlineStr">
        <is>
          <t>VÄSTRA GÖTALANDS LÄN</t>
        </is>
      </c>
      <c r="E8743" t="inlineStr">
        <is>
          <t>UDDEVALLA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59161-2024</t>
        </is>
      </c>
      <c r="B8744" s="1" t="n">
        <v>45637.47238425926</v>
      </c>
      <c r="C8744" s="1" t="n">
        <v>46011</v>
      </c>
      <c r="D8744" t="inlineStr">
        <is>
          <t>VÄSTRA GÖTALANDS LÄN</t>
        </is>
      </c>
      <c r="E8744" t="inlineStr">
        <is>
          <t>MARK</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59314-2024</t>
        </is>
      </c>
      <c r="B8745" s="1" t="n">
        <v>45637.68851851852</v>
      </c>
      <c r="C8745" s="1" t="n">
        <v>46011</v>
      </c>
      <c r="D8745" t="inlineStr">
        <is>
          <t>VÄSTRA GÖTALANDS LÄN</t>
        </is>
      </c>
      <c r="E8745" t="inlineStr">
        <is>
          <t>VARA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59099-2025</t>
        </is>
      </c>
      <c r="B8746" s="1" t="n">
        <v>45988.45547453704</v>
      </c>
      <c r="C8746" s="1" t="n">
        <v>46011</v>
      </c>
      <c r="D8746" t="inlineStr">
        <is>
          <t>VÄSTRA GÖTALANDS LÄN</t>
        </is>
      </c>
      <c r="E8746" t="inlineStr">
        <is>
          <t>MUNKEDAL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50589-2025</t>
        </is>
      </c>
      <c r="B8747" s="1" t="n">
        <v>45945.600625</v>
      </c>
      <c r="C8747" s="1" t="n">
        <v>46011</v>
      </c>
      <c r="D8747" t="inlineStr">
        <is>
          <t>VÄSTRA GÖTALANDS LÄN</t>
        </is>
      </c>
      <c r="E8747" t="inlineStr">
        <is>
          <t>STRÖMSTAD</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50606-2025</t>
        </is>
      </c>
      <c r="B8748" s="1" t="n">
        <v>45945.6171412037</v>
      </c>
      <c r="C8748" s="1" t="n">
        <v>46011</v>
      </c>
      <c r="D8748" t="inlineStr">
        <is>
          <t>VÄSTRA GÖTALANDS LÄN</t>
        </is>
      </c>
      <c r="E8748" t="inlineStr">
        <is>
          <t>STRÖMSTAD</t>
        </is>
      </c>
      <c r="G8748" t="n">
        <v>6.7</v>
      </c>
      <c r="H8748" t="n">
        <v>0</v>
      </c>
      <c r="I8748" t="n">
        <v>0</v>
      </c>
      <c r="J8748" t="n">
        <v>0</v>
      </c>
      <c r="K8748" t="n">
        <v>0</v>
      </c>
      <c r="L8748" t="n">
        <v>0</v>
      </c>
      <c r="M8748" t="n">
        <v>0</v>
      </c>
      <c r="N8748" t="n">
        <v>0</v>
      </c>
      <c r="O8748" t="n">
        <v>0</v>
      </c>
      <c r="P8748" t="n">
        <v>0</v>
      </c>
      <c r="Q8748" t="n">
        <v>0</v>
      </c>
      <c r="R8748" s="2" t="inlineStr"/>
    </row>
    <row r="8749" ht="15" customHeight="1">
      <c r="A8749" t="inlineStr">
        <is>
          <t>A 50607-2025</t>
        </is>
      </c>
      <c r="B8749" s="1" t="n">
        <v>45945.61997685185</v>
      </c>
      <c r="C8749" s="1" t="n">
        <v>46011</v>
      </c>
      <c r="D8749" t="inlineStr">
        <is>
          <t>VÄSTRA GÖTALANDS LÄN</t>
        </is>
      </c>
      <c r="E8749" t="inlineStr">
        <is>
          <t>STRÖMSTAD</t>
        </is>
      </c>
      <c r="G8749" t="n">
        <v>14.5</v>
      </c>
      <c r="H8749" t="n">
        <v>0</v>
      </c>
      <c r="I8749" t="n">
        <v>0</v>
      </c>
      <c r="J8749" t="n">
        <v>0</v>
      </c>
      <c r="K8749" t="n">
        <v>0</v>
      </c>
      <c r="L8749" t="n">
        <v>0</v>
      </c>
      <c r="M8749" t="n">
        <v>0</v>
      </c>
      <c r="N8749" t="n">
        <v>0</v>
      </c>
      <c r="O8749" t="n">
        <v>0</v>
      </c>
      <c r="P8749" t="n">
        <v>0</v>
      </c>
      <c r="Q8749" t="n">
        <v>0</v>
      </c>
      <c r="R8749" s="2" t="inlineStr"/>
    </row>
    <row r="8750" ht="15" customHeight="1">
      <c r="A8750" t="inlineStr">
        <is>
          <t>A 4987-2025</t>
        </is>
      </c>
      <c r="B8750" s="1" t="n">
        <v>45691.32157407407</v>
      </c>
      <c r="C8750" s="1" t="n">
        <v>46011</v>
      </c>
      <c r="D8750" t="inlineStr">
        <is>
          <t>VÄSTRA GÖTALANDS LÄN</t>
        </is>
      </c>
      <c r="E8750" t="inlineStr">
        <is>
          <t>MARIESTAD</t>
        </is>
      </c>
      <c r="F8750" t="inlineStr">
        <is>
          <t>Sveaskog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4991-2025</t>
        </is>
      </c>
      <c r="B8751" s="1" t="n">
        <v>45691.3403587963</v>
      </c>
      <c r="C8751" s="1" t="n">
        <v>46011</v>
      </c>
      <c r="D8751" t="inlineStr">
        <is>
          <t>VÄSTRA GÖTALANDS LÄN</t>
        </is>
      </c>
      <c r="E8751" t="inlineStr">
        <is>
          <t>MARIESTAD</t>
        </is>
      </c>
      <c r="F8751" t="inlineStr">
        <is>
          <t>Sveaskog</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50538-2025</t>
        </is>
      </c>
      <c r="B8752" s="1" t="n">
        <v>45945.49040509259</v>
      </c>
      <c r="C8752" s="1" t="n">
        <v>46011</v>
      </c>
      <c r="D8752" t="inlineStr">
        <is>
          <t>VÄSTRA GÖTALANDS LÄN</t>
        </is>
      </c>
      <c r="E8752" t="inlineStr">
        <is>
          <t>STENUNGSUND</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59111-2025</t>
        </is>
      </c>
      <c r="B8753" s="1" t="n">
        <v>45988.48037037037</v>
      </c>
      <c r="C8753" s="1" t="n">
        <v>46011</v>
      </c>
      <c r="D8753" t="inlineStr">
        <is>
          <t>VÄSTRA GÖTALANDS LÄN</t>
        </is>
      </c>
      <c r="E8753" t="inlineStr">
        <is>
          <t>KARLSBORG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59247-2025</t>
        </is>
      </c>
      <c r="B8754" s="1" t="n">
        <v>45988.64767361111</v>
      </c>
      <c r="C8754" s="1" t="n">
        <v>46011</v>
      </c>
      <c r="D8754" t="inlineStr">
        <is>
          <t>VÄSTRA GÖTALANDS LÄN</t>
        </is>
      </c>
      <c r="E8754" t="inlineStr">
        <is>
          <t>BORÅS</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6246-2021</t>
        </is>
      </c>
      <c r="B8755" s="1" t="n">
        <v>44235</v>
      </c>
      <c r="C8755" s="1" t="n">
        <v>46011</v>
      </c>
      <c r="D8755" t="inlineStr">
        <is>
          <t>VÄSTRA GÖTALANDS LÄN</t>
        </is>
      </c>
      <c r="E8755" t="inlineStr">
        <is>
          <t>BENGTSFORS</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47980-2023</t>
        </is>
      </c>
      <c r="B8756" s="1" t="n">
        <v>45204</v>
      </c>
      <c r="C8756" s="1" t="n">
        <v>46011</v>
      </c>
      <c r="D8756" t="inlineStr">
        <is>
          <t>VÄSTRA GÖTALANDS LÄN</t>
        </is>
      </c>
      <c r="E8756" t="inlineStr">
        <is>
          <t>BOLLEBYGD</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50868-2025</t>
        </is>
      </c>
      <c r="B8757" s="1" t="n">
        <v>45946.59853009259</v>
      </c>
      <c r="C8757" s="1" t="n">
        <v>46011</v>
      </c>
      <c r="D8757" t="inlineStr">
        <is>
          <t>VÄSTRA GÖTALANDS LÄN</t>
        </is>
      </c>
      <c r="E8757" t="inlineStr">
        <is>
          <t>TANUM</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50876-2025</t>
        </is>
      </c>
      <c r="B8758" s="1" t="n">
        <v>45946.61502314815</v>
      </c>
      <c r="C8758" s="1" t="n">
        <v>46011</v>
      </c>
      <c r="D8758" t="inlineStr">
        <is>
          <t>VÄSTRA GÖTALANDS LÄN</t>
        </is>
      </c>
      <c r="E8758" t="inlineStr">
        <is>
          <t>FÄRGELANDA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29596-2024</t>
        </is>
      </c>
      <c r="B8759" s="1" t="n">
        <v>45484</v>
      </c>
      <c r="C8759" s="1" t="n">
        <v>46011</v>
      </c>
      <c r="D8759" t="inlineStr">
        <is>
          <t>VÄSTRA GÖTALANDS LÄN</t>
        </is>
      </c>
      <c r="E8759" t="inlineStr">
        <is>
          <t>HJO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49188-2023</t>
        </is>
      </c>
      <c r="B8760" s="1" t="n">
        <v>45210.57627314814</v>
      </c>
      <c r="C8760" s="1" t="n">
        <v>46011</v>
      </c>
      <c r="D8760" t="inlineStr">
        <is>
          <t>VÄSTRA GÖTALANDS LÄN</t>
        </is>
      </c>
      <c r="E8760" t="inlineStr">
        <is>
          <t>MARIESTAD</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10458-2025</t>
        </is>
      </c>
      <c r="B8761" s="1" t="n">
        <v>45720</v>
      </c>
      <c r="C8761" s="1" t="n">
        <v>46011</v>
      </c>
      <c r="D8761" t="inlineStr">
        <is>
          <t>VÄSTRA GÖTALANDS LÄN</t>
        </is>
      </c>
      <c r="E8761" t="inlineStr">
        <is>
          <t>MARIESTAD</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59283-2025</t>
        </is>
      </c>
      <c r="B8762" s="1" t="n">
        <v>45988.72796296296</v>
      </c>
      <c r="C8762" s="1" t="n">
        <v>46011</v>
      </c>
      <c r="D8762" t="inlineStr">
        <is>
          <t>VÄSTRA GÖTALANDS LÄN</t>
        </is>
      </c>
      <c r="E8762" t="inlineStr">
        <is>
          <t>BENGTSFORS</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49193-2023</t>
        </is>
      </c>
      <c r="B8763" s="1" t="n">
        <v>45210.58008101852</v>
      </c>
      <c r="C8763" s="1" t="n">
        <v>46011</v>
      </c>
      <c r="D8763" t="inlineStr">
        <is>
          <t>VÄSTRA GÖTALANDS LÄN</t>
        </is>
      </c>
      <c r="E8763" t="inlineStr">
        <is>
          <t>MARIESTAD</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57427-2025</t>
        </is>
      </c>
      <c r="B8764" s="1" t="n">
        <v>45980.4665625</v>
      </c>
      <c r="C8764" s="1" t="n">
        <v>46011</v>
      </c>
      <c r="D8764" t="inlineStr">
        <is>
          <t>VÄSTRA GÖTALANDS LÄN</t>
        </is>
      </c>
      <c r="E8764" t="inlineStr">
        <is>
          <t>MARK</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58809-2025</t>
        </is>
      </c>
      <c r="B8765" s="1" t="n">
        <v>45987.30810185185</v>
      </c>
      <c r="C8765" s="1" t="n">
        <v>46011</v>
      </c>
      <c r="D8765" t="inlineStr">
        <is>
          <t>VÄSTRA GÖTALANDS LÄN</t>
        </is>
      </c>
      <c r="E8765" t="inlineStr">
        <is>
          <t>TANUM</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50441-2023</t>
        </is>
      </c>
      <c r="B8766" s="1" t="n">
        <v>45216.708125</v>
      </c>
      <c r="C8766" s="1" t="n">
        <v>46011</v>
      </c>
      <c r="D8766" t="inlineStr">
        <is>
          <t>VÄSTRA GÖTALANDS LÄN</t>
        </is>
      </c>
      <c r="E8766" t="inlineStr">
        <is>
          <t>MELLERUD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58853-2025</t>
        </is>
      </c>
      <c r="B8767" s="1" t="n">
        <v>45987.40476851852</v>
      </c>
      <c r="C8767" s="1" t="n">
        <v>46011</v>
      </c>
      <c r="D8767" t="inlineStr">
        <is>
          <t>VÄSTRA GÖTALANDS LÄN</t>
        </is>
      </c>
      <c r="E8767" t="inlineStr">
        <is>
          <t>ORUST</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58304-2025</t>
        </is>
      </c>
      <c r="B8768" s="1" t="n">
        <v>45982</v>
      </c>
      <c r="C8768" s="1" t="n">
        <v>46011</v>
      </c>
      <c r="D8768" t="inlineStr">
        <is>
          <t>VÄSTRA GÖTALANDS LÄN</t>
        </is>
      </c>
      <c r="E8768" t="inlineStr">
        <is>
          <t>BORÅS</t>
        </is>
      </c>
      <c r="F8768" t="inlineStr">
        <is>
          <t>Kommuner</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50617-2025</t>
        </is>
      </c>
      <c r="B8769" s="1" t="n">
        <v>45945.62987268518</v>
      </c>
      <c r="C8769" s="1" t="n">
        <v>46011</v>
      </c>
      <c r="D8769" t="inlineStr">
        <is>
          <t>VÄSTRA GÖTALANDS LÄN</t>
        </is>
      </c>
      <c r="E8769" t="inlineStr">
        <is>
          <t>UDDEVALLA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50625-2025</t>
        </is>
      </c>
      <c r="B8770" s="1" t="n">
        <v>45945.63540509259</v>
      </c>
      <c r="C8770" s="1" t="n">
        <v>46011</v>
      </c>
      <c r="D8770" t="inlineStr">
        <is>
          <t>VÄSTRA GÖTALANDS LÄN</t>
        </is>
      </c>
      <c r="E8770" t="inlineStr">
        <is>
          <t>BENGTSFORS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35295-2024</t>
        </is>
      </c>
      <c r="B8771" s="1" t="n">
        <v>45530.66170138889</v>
      </c>
      <c r="C8771" s="1" t="n">
        <v>46011</v>
      </c>
      <c r="D8771" t="inlineStr">
        <is>
          <t>VÄSTRA GÖTALANDS LÄN</t>
        </is>
      </c>
      <c r="E8771" t="inlineStr">
        <is>
          <t>DALS-ED</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15854-2025</t>
        </is>
      </c>
      <c r="B8772" s="1" t="n">
        <v>45749.31451388889</v>
      </c>
      <c r="C8772" s="1" t="n">
        <v>46011</v>
      </c>
      <c r="D8772" t="inlineStr">
        <is>
          <t>VÄSTRA GÖTALANDS LÄN</t>
        </is>
      </c>
      <c r="E8772" t="inlineStr">
        <is>
          <t>FALKÖPING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50578-2025</t>
        </is>
      </c>
      <c r="B8773" s="1" t="n">
        <v>45945.58215277778</v>
      </c>
      <c r="C8773" s="1" t="n">
        <v>46011</v>
      </c>
      <c r="D8773" t="inlineStr">
        <is>
          <t>VÄSTRA GÖTALANDS LÄN</t>
        </is>
      </c>
      <c r="E8773" t="inlineStr">
        <is>
          <t>STRÖMSTAD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18573-2023</t>
        </is>
      </c>
      <c r="B8774" s="1" t="n">
        <v>45043</v>
      </c>
      <c r="C8774" s="1" t="n">
        <v>46011</v>
      </c>
      <c r="D8774" t="inlineStr">
        <is>
          <t>VÄSTRA GÖTALANDS LÄN</t>
        </is>
      </c>
      <c r="E8774" t="inlineStr">
        <is>
          <t>ULRICEHAMN</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56999-2025</t>
        </is>
      </c>
      <c r="B8775" s="1" t="n">
        <v>45978.73694444444</v>
      </c>
      <c r="C8775" s="1" t="n">
        <v>46011</v>
      </c>
      <c r="D8775" t="inlineStr">
        <is>
          <t>VÄSTRA GÖTALANDS LÄN</t>
        </is>
      </c>
      <c r="E8775" t="inlineStr">
        <is>
          <t>TRANEMO</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50797-2025</t>
        </is>
      </c>
      <c r="B8776" s="1" t="n">
        <v>45946.48350694445</v>
      </c>
      <c r="C8776" s="1" t="n">
        <v>46011</v>
      </c>
      <c r="D8776" t="inlineStr">
        <is>
          <t>VÄSTRA GÖTALANDS LÄN</t>
        </is>
      </c>
      <c r="E8776" t="inlineStr">
        <is>
          <t>STRÖMSTAD</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18528-2023</t>
        </is>
      </c>
      <c r="B8777" s="1" t="n">
        <v>45042.69927083333</v>
      </c>
      <c r="C8777" s="1" t="n">
        <v>46011</v>
      </c>
      <c r="D8777" t="inlineStr">
        <is>
          <t>VÄSTRA GÖTALANDS LÄN</t>
        </is>
      </c>
      <c r="E8777" t="inlineStr">
        <is>
          <t>ÅMÅL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50510-2025</t>
        </is>
      </c>
      <c r="B8778" s="1" t="n">
        <v>45945.4416087963</v>
      </c>
      <c r="C8778" s="1" t="n">
        <v>46011</v>
      </c>
      <c r="D8778" t="inlineStr">
        <is>
          <t>VÄSTRA GÖTALANDS LÄN</t>
        </is>
      </c>
      <c r="E8778" t="inlineStr">
        <is>
          <t>BENGTSFORS</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50515-2025</t>
        </is>
      </c>
      <c r="B8779" s="1" t="n">
        <v>45945.45089120371</v>
      </c>
      <c r="C8779" s="1" t="n">
        <v>46011</v>
      </c>
      <c r="D8779" t="inlineStr">
        <is>
          <t>VÄSTRA GÖTALANDS LÄN</t>
        </is>
      </c>
      <c r="E8779" t="inlineStr">
        <is>
          <t>ÅMÅL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54937-2022</t>
        </is>
      </c>
      <c r="B8780" s="1" t="n">
        <v>44881</v>
      </c>
      <c r="C8780" s="1" t="n">
        <v>46011</v>
      </c>
      <c r="D8780" t="inlineStr">
        <is>
          <t>VÄSTRA GÖTALANDS LÄN</t>
        </is>
      </c>
      <c r="E8780" t="inlineStr">
        <is>
          <t>VÅRGÅRDA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50517-2025</t>
        </is>
      </c>
      <c r="B8781" s="1" t="n">
        <v>45945.4562962963</v>
      </c>
      <c r="C8781" s="1" t="n">
        <v>46011</v>
      </c>
      <c r="D8781" t="inlineStr">
        <is>
          <t>VÄSTRA GÖTALANDS LÄN</t>
        </is>
      </c>
      <c r="E8781" t="inlineStr">
        <is>
          <t>BENGTSFORS</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10138-2025</t>
        </is>
      </c>
      <c r="B8782" s="1" t="n">
        <v>45719.62782407407</v>
      </c>
      <c r="C8782" s="1" t="n">
        <v>46011</v>
      </c>
      <c r="D8782" t="inlineStr">
        <is>
          <t>VÄSTRA GÖTALANDS LÄN</t>
        </is>
      </c>
      <c r="E8782" t="inlineStr">
        <is>
          <t>MARK</t>
        </is>
      </c>
      <c r="F8782" t="inlineStr">
        <is>
          <t>Sveaskog</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53193-2023</t>
        </is>
      </c>
      <c r="B8783" s="1" t="n">
        <v>45229</v>
      </c>
      <c r="C8783" s="1" t="n">
        <v>46011</v>
      </c>
      <c r="D8783" t="inlineStr">
        <is>
          <t>VÄSTRA GÖTALANDS LÄN</t>
        </is>
      </c>
      <c r="E8783" t="inlineStr">
        <is>
          <t>TROLLHÄTTAN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51344-2025</t>
        </is>
      </c>
      <c r="B8784" s="1" t="n">
        <v>45950.43148148148</v>
      </c>
      <c r="C8784" s="1" t="n">
        <v>46011</v>
      </c>
      <c r="D8784" t="inlineStr">
        <is>
          <t>VÄSTRA GÖTALANDS LÄN</t>
        </is>
      </c>
      <c r="E8784" t="inlineStr">
        <is>
          <t>SVENLJUNGA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53247-2023</t>
        </is>
      </c>
      <c r="B8785" s="1" t="n">
        <v>45229.50737268518</v>
      </c>
      <c r="C8785" s="1" t="n">
        <v>46011</v>
      </c>
      <c r="D8785" t="inlineStr">
        <is>
          <t>VÄSTRA GÖTALANDS LÄN</t>
        </is>
      </c>
      <c r="E8785" t="inlineStr">
        <is>
          <t>KARLSBORG</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48426-2022</t>
        </is>
      </c>
      <c r="B8786" s="1" t="n">
        <v>44858.6446412037</v>
      </c>
      <c r="C8786" s="1" t="n">
        <v>46011</v>
      </c>
      <c r="D8786" t="inlineStr">
        <is>
          <t>VÄSTRA GÖTALANDS LÄN</t>
        </is>
      </c>
      <c r="E8786" t="inlineStr">
        <is>
          <t>ÅMÅL</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51427-2025</t>
        </is>
      </c>
      <c r="B8787" s="1" t="n">
        <v>45949</v>
      </c>
      <c r="C8787" s="1" t="n">
        <v>46011</v>
      </c>
      <c r="D8787" t="inlineStr">
        <is>
          <t>VÄSTRA GÖTALANDS LÄN</t>
        </is>
      </c>
      <c r="E8787" t="inlineStr">
        <is>
          <t>STRÖMSTAD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51436-2025</t>
        </is>
      </c>
      <c r="B8788" s="1" t="n">
        <v>45950.56489583333</v>
      </c>
      <c r="C8788" s="1" t="n">
        <v>46011</v>
      </c>
      <c r="D8788" t="inlineStr">
        <is>
          <t>VÄSTRA GÖTALANDS LÄN</t>
        </is>
      </c>
      <c r="E8788" t="inlineStr">
        <is>
          <t>MELLERUD</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37685-2022</t>
        </is>
      </c>
      <c r="B8789" s="1" t="n">
        <v>44810.48689814815</v>
      </c>
      <c r="C8789" s="1" t="n">
        <v>46011</v>
      </c>
      <c r="D8789" t="inlineStr">
        <is>
          <t>VÄSTRA GÖTALANDS LÄN</t>
        </is>
      </c>
      <c r="E8789" t="inlineStr">
        <is>
          <t>ULRICEHAMN</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8609-2025</t>
        </is>
      </c>
      <c r="B8790" s="1" t="n">
        <v>45710.495</v>
      </c>
      <c r="C8790" s="1" t="n">
        <v>46011</v>
      </c>
      <c r="D8790" t="inlineStr">
        <is>
          <t>VÄSTRA GÖTALANDS LÄN</t>
        </is>
      </c>
      <c r="E8790" t="inlineStr">
        <is>
          <t>MARK</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57227-2022</t>
        </is>
      </c>
      <c r="B8791" s="1" t="n">
        <v>44895</v>
      </c>
      <c r="C8791" s="1" t="n">
        <v>46011</v>
      </c>
      <c r="D8791" t="inlineStr">
        <is>
          <t>VÄSTRA GÖTALANDS LÄN</t>
        </is>
      </c>
      <c r="E8791" t="inlineStr">
        <is>
          <t>SVENLJUNGA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51193-2025</t>
        </is>
      </c>
      <c r="B8792" s="1" t="n">
        <v>45947</v>
      </c>
      <c r="C8792" s="1" t="n">
        <v>46011</v>
      </c>
      <c r="D8792" t="inlineStr">
        <is>
          <t>VÄSTRA GÖTALANDS LÄN</t>
        </is>
      </c>
      <c r="E8792" t="inlineStr">
        <is>
          <t>SKÖVDE</t>
        </is>
      </c>
      <c r="G8792" t="n">
        <v>7.2</v>
      </c>
      <c r="H8792" t="n">
        <v>0</v>
      </c>
      <c r="I8792" t="n">
        <v>0</v>
      </c>
      <c r="J8792" t="n">
        <v>0</v>
      </c>
      <c r="K8792" t="n">
        <v>0</v>
      </c>
      <c r="L8792" t="n">
        <v>0</v>
      </c>
      <c r="M8792" t="n">
        <v>0</v>
      </c>
      <c r="N8792" t="n">
        <v>0</v>
      </c>
      <c r="O8792" t="n">
        <v>0</v>
      </c>
      <c r="P8792" t="n">
        <v>0</v>
      </c>
      <c r="Q8792" t="n">
        <v>0</v>
      </c>
      <c r="R8792" s="2" t="inlineStr"/>
    </row>
    <row r="8793" ht="15" customHeight="1">
      <c r="A8793" t="inlineStr">
        <is>
          <t>A 25639-2023</t>
        </is>
      </c>
      <c r="B8793" s="1" t="n">
        <v>45089.72844907407</v>
      </c>
      <c r="C8793" s="1" t="n">
        <v>46011</v>
      </c>
      <c r="D8793" t="inlineStr">
        <is>
          <t>VÄSTRA GÖTALANDS LÄN</t>
        </is>
      </c>
      <c r="E8793" t="inlineStr">
        <is>
          <t>BENGTSFORS</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14635-2025</t>
        </is>
      </c>
      <c r="B8794" s="1" t="n">
        <v>45742.43068287037</v>
      </c>
      <c r="C8794" s="1" t="n">
        <v>46011</v>
      </c>
      <c r="D8794" t="inlineStr">
        <is>
          <t>VÄSTRA GÖTALANDS LÄN</t>
        </is>
      </c>
      <c r="E8794" t="inlineStr">
        <is>
          <t>HERRLJUNGA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51212-2025</t>
        </is>
      </c>
      <c r="B8795" s="1" t="n">
        <v>45947.64262731482</v>
      </c>
      <c r="C8795" s="1" t="n">
        <v>46011</v>
      </c>
      <c r="D8795" t="inlineStr">
        <is>
          <t>VÄSTRA GÖTALANDS LÄN</t>
        </is>
      </c>
      <c r="E8795" t="inlineStr">
        <is>
          <t>VARA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51222-2025</t>
        </is>
      </c>
      <c r="B8796" s="1" t="n">
        <v>45947.65197916667</v>
      </c>
      <c r="C8796" s="1" t="n">
        <v>46011</v>
      </c>
      <c r="D8796" t="inlineStr">
        <is>
          <t>VÄSTRA GÖTALANDS LÄN</t>
        </is>
      </c>
      <c r="E8796" t="inlineStr">
        <is>
          <t>MARIESTAD</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7590-2025</t>
        </is>
      </c>
      <c r="B8797" s="1" t="n">
        <v>45705.64208333333</v>
      </c>
      <c r="C8797" s="1" t="n">
        <v>46011</v>
      </c>
      <c r="D8797" t="inlineStr">
        <is>
          <t>VÄSTRA GÖTALANDS LÄN</t>
        </is>
      </c>
      <c r="E8797" t="inlineStr">
        <is>
          <t>FALKÖPING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14691-2025</t>
        </is>
      </c>
      <c r="B8798" s="1" t="n">
        <v>45742.58265046297</v>
      </c>
      <c r="C8798" s="1" t="n">
        <v>46011</v>
      </c>
      <c r="D8798" t="inlineStr">
        <is>
          <t>VÄSTRA GÖTALANDS LÄN</t>
        </is>
      </c>
      <c r="E8798" t="inlineStr">
        <is>
          <t>SVENLJUNGA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53196-2025</t>
        </is>
      </c>
      <c r="B8799" s="1" t="n">
        <v>45958</v>
      </c>
      <c r="C8799" s="1" t="n">
        <v>46011</v>
      </c>
      <c r="D8799" t="inlineStr">
        <is>
          <t>VÄSTRA GÖTALANDS LÄN</t>
        </is>
      </c>
      <c r="E8799" t="inlineStr">
        <is>
          <t>FÄRGELANDA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41838-2023</t>
        </is>
      </c>
      <c r="B8800" s="1" t="n">
        <v>45176.60104166667</v>
      </c>
      <c r="C8800" s="1" t="n">
        <v>46011</v>
      </c>
      <c r="D8800" t="inlineStr">
        <is>
          <t>VÄSTRA GÖTALANDS LÄN</t>
        </is>
      </c>
      <c r="E8800" t="inlineStr">
        <is>
          <t>BORÅS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52172-2023</t>
        </is>
      </c>
      <c r="B8801" s="1" t="n">
        <v>45224.35410879629</v>
      </c>
      <c r="C8801" s="1" t="n">
        <v>46011</v>
      </c>
      <c r="D8801" t="inlineStr">
        <is>
          <t>VÄSTRA GÖTALANDS LÄN</t>
        </is>
      </c>
      <c r="E8801" t="inlineStr">
        <is>
          <t>ULRICEHAMN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52234-2023</t>
        </is>
      </c>
      <c r="B8802" s="1" t="n">
        <v>45224</v>
      </c>
      <c r="C8802" s="1" t="n">
        <v>46011</v>
      </c>
      <c r="D8802" t="inlineStr">
        <is>
          <t>VÄSTRA GÖTALANDS LÄN</t>
        </is>
      </c>
      <c r="E8802" t="inlineStr">
        <is>
          <t>SVENLJUNGA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52254-2023</t>
        </is>
      </c>
      <c r="B8803" s="1" t="n">
        <v>45217</v>
      </c>
      <c r="C8803" s="1" t="n">
        <v>46011</v>
      </c>
      <c r="D8803" t="inlineStr">
        <is>
          <t>VÄSTRA GÖTALANDS LÄN</t>
        </is>
      </c>
      <c r="E8803" t="inlineStr">
        <is>
          <t>DALS-ED</t>
        </is>
      </c>
      <c r="F8803" t="inlineStr">
        <is>
          <t>Kyrkan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37424-2021</t>
        </is>
      </c>
      <c r="B8804" s="1" t="n">
        <v>44398.48474537037</v>
      </c>
      <c r="C8804" s="1" t="n">
        <v>46011</v>
      </c>
      <c r="D8804" t="inlineStr">
        <is>
          <t>VÄSTRA GÖTALANDS LÄN</t>
        </is>
      </c>
      <c r="E8804" t="inlineStr">
        <is>
          <t>VÅRGÅRDA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51074-2025</t>
        </is>
      </c>
      <c r="B8805" s="1" t="n">
        <v>45947.46091435185</v>
      </c>
      <c r="C8805" s="1" t="n">
        <v>46011</v>
      </c>
      <c r="D8805" t="inlineStr">
        <is>
          <t>VÄSTRA GÖTALANDS LÄN</t>
        </is>
      </c>
      <c r="E8805" t="inlineStr">
        <is>
          <t>BORÅS</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51362-2025</t>
        </is>
      </c>
      <c r="B8806" s="1" t="n">
        <v>45950.44516203704</v>
      </c>
      <c r="C8806" s="1" t="n">
        <v>46011</v>
      </c>
      <c r="D8806" t="inlineStr">
        <is>
          <t>VÄSTRA GÖTALANDS LÄN</t>
        </is>
      </c>
      <c r="E8806" t="inlineStr">
        <is>
          <t>HJO</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37492-2021</t>
        </is>
      </c>
      <c r="B8807" s="1" t="n">
        <v>44398</v>
      </c>
      <c r="C8807" s="1" t="n">
        <v>46011</v>
      </c>
      <c r="D8807" t="inlineStr">
        <is>
          <t>VÄSTRA GÖTALANDS LÄN</t>
        </is>
      </c>
      <c r="E8807" t="inlineStr">
        <is>
          <t>GULLSPÅNG</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40571-2022</t>
        </is>
      </c>
      <c r="B8808" s="1" t="n">
        <v>44823</v>
      </c>
      <c r="C8808" s="1" t="n">
        <v>46011</v>
      </c>
      <c r="D8808" t="inlineStr">
        <is>
          <t>VÄSTRA GÖTALANDS LÄN</t>
        </is>
      </c>
      <c r="E8808" t="inlineStr">
        <is>
          <t>UDDEVALLA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38697-2023</t>
        </is>
      </c>
      <c r="B8809" s="1" t="n">
        <v>45163.29509259259</v>
      </c>
      <c r="C8809" s="1" t="n">
        <v>46011</v>
      </c>
      <c r="D8809" t="inlineStr">
        <is>
          <t>VÄSTRA GÖTALANDS LÄN</t>
        </is>
      </c>
      <c r="E8809" t="inlineStr">
        <is>
          <t>ULRICEHAMN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4515-2025</t>
        </is>
      </c>
      <c r="B8810" s="1" t="n">
        <v>45686.8584375</v>
      </c>
      <c r="C8810" s="1" t="n">
        <v>46011</v>
      </c>
      <c r="D8810" t="inlineStr">
        <is>
          <t>VÄSTRA GÖTALANDS LÄN</t>
        </is>
      </c>
      <c r="E8810" t="inlineStr">
        <is>
          <t>TANUM</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4525-2025</t>
        </is>
      </c>
      <c r="B8811" s="1" t="n">
        <v>45687.22067129629</v>
      </c>
      <c r="C8811" s="1" t="n">
        <v>46011</v>
      </c>
      <c r="D8811" t="inlineStr">
        <is>
          <t>VÄSTRA GÖTALANDS LÄN</t>
        </is>
      </c>
      <c r="E8811" t="inlineStr">
        <is>
          <t>FÄRGELANDA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4585-2025</t>
        </is>
      </c>
      <c r="B8812" s="1" t="n">
        <v>45687</v>
      </c>
      <c r="C8812" s="1" t="n">
        <v>46011</v>
      </c>
      <c r="D8812" t="inlineStr">
        <is>
          <t>VÄSTRA GÖTALANDS LÄN</t>
        </is>
      </c>
      <c r="E8812" t="inlineStr">
        <is>
          <t>FALKÖPING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51076-2025</t>
        </is>
      </c>
      <c r="B8813" s="1" t="n">
        <v>45947.46234953704</v>
      </c>
      <c r="C8813" s="1" t="n">
        <v>46011</v>
      </c>
      <c r="D8813" t="inlineStr">
        <is>
          <t>VÄSTRA GÖTALANDS LÄN</t>
        </is>
      </c>
      <c r="E8813" t="inlineStr">
        <is>
          <t>GULLSPÅNG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51081-2025</t>
        </is>
      </c>
      <c r="B8814" s="1" t="n">
        <v>45947.46731481481</v>
      </c>
      <c r="C8814" s="1" t="n">
        <v>46011</v>
      </c>
      <c r="D8814" t="inlineStr">
        <is>
          <t>VÄSTRA GÖTALANDS LÄN</t>
        </is>
      </c>
      <c r="E8814" t="inlineStr">
        <is>
          <t>TÖREBODA</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12024-2025</t>
        </is>
      </c>
      <c r="B8815" s="1" t="n">
        <v>45728.63600694444</v>
      </c>
      <c r="C8815" s="1" t="n">
        <v>46011</v>
      </c>
      <c r="D8815" t="inlineStr">
        <is>
          <t>VÄSTRA GÖTALANDS LÄN</t>
        </is>
      </c>
      <c r="E8815" t="inlineStr">
        <is>
          <t>BORÅS</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2954-2025</t>
        </is>
      </c>
      <c r="B8816" s="1" t="n">
        <v>45678.44070601852</v>
      </c>
      <c r="C8816" s="1" t="n">
        <v>46011</v>
      </c>
      <c r="D8816" t="inlineStr">
        <is>
          <t>VÄSTRA GÖTALANDS LÄN</t>
        </is>
      </c>
      <c r="E8816" t="inlineStr">
        <is>
          <t>MUNKEDAL</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42000-2022</t>
        </is>
      </c>
      <c r="B8817" s="1" t="n">
        <v>44830</v>
      </c>
      <c r="C8817" s="1" t="n">
        <v>46011</v>
      </c>
      <c r="D8817" t="inlineStr">
        <is>
          <t>VÄSTRA GÖTALANDS LÄN</t>
        </is>
      </c>
      <c r="E8817" t="inlineStr">
        <is>
          <t>MARIESTAD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4622-2025</t>
        </is>
      </c>
      <c r="B8818" s="1" t="n">
        <v>45687.61902777778</v>
      </c>
      <c r="C8818" s="1" t="n">
        <v>46011</v>
      </c>
      <c r="D8818" t="inlineStr">
        <is>
          <t>VÄSTRA GÖTALANDS LÄN</t>
        </is>
      </c>
      <c r="E8818" t="inlineStr">
        <is>
          <t>VARA</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59723-2025</t>
        </is>
      </c>
      <c r="B8819" s="1" t="n">
        <v>45992</v>
      </c>
      <c r="C8819" s="1" t="n">
        <v>46011</v>
      </c>
      <c r="D8819" t="inlineStr">
        <is>
          <t>VÄSTRA GÖTALANDS LÄN</t>
        </is>
      </c>
      <c r="E8819" t="inlineStr">
        <is>
          <t>MELLERUD</t>
        </is>
      </c>
      <c r="G8819" t="n">
        <v>12.3</v>
      </c>
      <c r="H8819" t="n">
        <v>0</v>
      </c>
      <c r="I8819" t="n">
        <v>0</v>
      </c>
      <c r="J8819" t="n">
        <v>0</v>
      </c>
      <c r="K8819" t="n">
        <v>0</v>
      </c>
      <c r="L8819" t="n">
        <v>0</v>
      </c>
      <c r="M8819" t="n">
        <v>0</v>
      </c>
      <c r="N8819" t="n">
        <v>0</v>
      </c>
      <c r="O8819" t="n">
        <v>0</v>
      </c>
      <c r="P8819" t="n">
        <v>0</v>
      </c>
      <c r="Q8819" t="n">
        <v>0</v>
      </c>
      <c r="R8819" s="2" t="inlineStr"/>
    </row>
    <row r="8820" ht="15" customHeight="1">
      <c r="A8820" t="inlineStr">
        <is>
          <t>A 51747-2025</t>
        </is>
      </c>
      <c r="B8820" s="1" t="n">
        <v>45950</v>
      </c>
      <c r="C8820" s="1" t="n">
        <v>46011</v>
      </c>
      <c r="D8820" t="inlineStr">
        <is>
          <t>VÄSTRA GÖTALANDS LÄN</t>
        </is>
      </c>
      <c r="E8820" t="inlineStr">
        <is>
          <t>UDDEVALLA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59820-2025</t>
        </is>
      </c>
      <c r="B8821" s="1" t="n">
        <v>45992.64228009259</v>
      </c>
      <c r="C8821" s="1" t="n">
        <v>46011</v>
      </c>
      <c r="D8821" t="inlineStr">
        <is>
          <t>VÄSTRA GÖTALANDS LÄN</t>
        </is>
      </c>
      <c r="E8821" t="inlineStr">
        <is>
          <t>ULRICEHAMN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4646-2025</t>
        </is>
      </c>
      <c r="B8822" s="1" t="n">
        <v>45687.65769675926</v>
      </c>
      <c r="C8822" s="1" t="n">
        <v>46011</v>
      </c>
      <c r="D8822" t="inlineStr">
        <is>
          <t>VÄSTRA GÖTALANDS LÄN</t>
        </is>
      </c>
      <c r="E8822" t="inlineStr">
        <is>
          <t>FÄRGELANDA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4655-2025</t>
        </is>
      </c>
      <c r="B8823" s="1" t="n">
        <v>45687.68706018518</v>
      </c>
      <c r="C8823" s="1" t="n">
        <v>46011</v>
      </c>
      <c r="D8823" t="inlineStr">
        <is>
          <t>VÄSTRA GÖTALANDS LÄN</t>
        </is>
      </c>
      <c r="E8823" t="inlineStr">
        <is>
          <t>SVENLJUNGA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51292-2025</t>
        </is>
      </c>
      <c r="B8824" s="1" t="n">
        <v>45950.34901620371</v>
      </c>
      <c r="C8824" s="1" t="n">
        <v>46011</v>
      </c>
      <c r="D8824" t="inlineStr">
        <is>
          <t>VÄSTRA GÖTALANDS LÄN</t>
        </is>
      </c>
      <c r="E8824" t="inlineStr">
        <is>
          <t>FALKÖPING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51501-2025</t>
        </is>
      </c>
      <c r="B8825" s="1" t="n">
        <v>45950.63748842593</v>
      </c>
      <c r="C8825" s="1" t="n">
        <v>46011</v>
      </c>
      <c r="D8825" t="inlineStr">
        <is>
          <t>VÄSTRA GÖTALANDS LÄN</t>
        </is>
      </c>
      <c r="E8825" t="inlineStr">
        <is>
          <t>HÄRRYDA</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1885-2025</t>
        </is>
      </c>
      <c r="B8826" s="1" t="n">
        <v>45671.63178240741</v>
      </c>
      <c r="C8826" s="1" t="n">
        <v>46011</v>
      </c>
      <c r="D8826" t="inlineStr">
        <is>
          <t>VÄSTRA GÖTALANDS LÄN</t>
        </is>
      </c>
      <c r="E8826" t="inlineStr">
        <is>
          <t>BORÅS</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51161-2025</t>
        </is>
      </c>
      <c r="B8827" s="1" t="n">
        <v>45947.58571759259</v>
      </c>
      <c r="C8827" s="1" t="n">
        <v>46011</v>
      </c>
      <c r="D8827" t="inlineStr">
        <is>
          <t>VÄSTRA GÖTALANDS LÄN</t>
        </is>
      </c>
      <c r="E8827" t="inlineStr">
        <is>
          <t>TANUM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51176-2025</t>
        </is>
      </c>
      <c r="B8828" s="1" t="n">
        <v>45947</v>
      </c>
      <c r="C8828" s="1" t="n">
        <v>46011</v>
      </c>
      <c r="D8828" t="inlineStr">
        <is>
          <t>VÄSTRA GÖTALANDS LÄN</t>
        </is>
      </c>
      <c r="E8828" t="inlineStr">
        <is>
          <t>GULLSPÅNG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48149-2023</t>
        </is>
      </c>
      <c r="B8829" s="1" t="n">
        <v>45201</v>
      </c>
      <c r="C8829" s="1" t="n">
        <v>46011</v>
      </c>
      <c r="D8829" t="inlineStr">
        <is>
          <t>VÄSTRA GÖTALANDS LÄN</t>
        </is>
      </c>
      <c r="E8829" t="inlineStr">
        <is>
          <t>SKÖVDE</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13949-2021</t>
        </is>
      </c>
      <c r="B8830" s="1" t="n">
        <v>44277.50083333333</v>
      </c>
      <c r="C8830" s="1" t="n">
        <v>46011</v>
      </c>
      <c r="D8830" t="inlineStr">
        <is>
          <t>VÄSTRA GÖTALANDS LÄN</t>
        </is>
      </c>
      <c r="E8830" t="inlineStr">
        <is>
          <t>DALS-ED</t>
        </is>
      </c>
      <c r="F8830" t="inlineStr">
        <is>
          <t>Övriga Aktiebolag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3213-2025</t>
        </is>
      </c>
      <c r="B8831" s="1" t="n">
        <v>45679.46103009259</v>
      </c>
      <c r="C8831" s="1" t="n">
        <v>46011</v>
      </c>
      <c r="D8831" t="inlineStr">
        <is>
          <t>VÄSTRA GÖTALANDS LÄN</t>
        </is>
      </c>
      <c r="E8831" t="inlineStr">
        <is>
          <t>TRANEMO</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51411-2025</t>
        </is>
      </c>
      <c r="B8832" s="1" t="n">
        <v>45949</v>
      </c>
      <c r="C8832" s="1" t="n">
        <v>46011</v>
      </c>
      <c r="D8832" t="inlineStr">
        <is>
          <t>VÄSTRA GÖTALANDS LÄN</t>
        </is>
      </c>
      <c r="E8832" t="inlineStr">
        <is>
          <t>TANUM</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59328-2025</t>
        </is>
      </c>
      <c r="B8833" s="1" t="n">
        <v>45988</v>
      </c>
      <c r="C8833" s="1" t="n">
        <v>46011</v>
      </c>
      <c r="D8833" t="inlineStr">
        <is>
          <t>VÄSTRA GÖTALANDS LÄN</t>
        </is>
      </c>
      <c r="E8833" t="inlineStr">
        <is>
          <t>ÅMÅL</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66955-2021</t>
        </is>
      </c>
      <c r="B8834" s="1" t="n">
        <v>44522.5925462963</v>
      </c>
      <c r="C8834" s="1" t="n">
        <v>46011</v>
      </c>
      <c r="D8834" t="inlineStr">
        <is>
          <t>VÄSTRA GÖTALANDS LÄN</t>
        </is>
      </c>
      <c r="E8834" t="inlineStr">
        <is>
          <t>FÄRGELANDA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32304-2024</t>
        </is>
      </c>
      <c r="B8835" s="1" t="n">
        <v>45512.45240740741</v>
      </c>
      <c r="C8835" s="1" t="n">
        <v>46011</v>
      </c>
      <c r="D8835" t="inlineStr">
        <is>
          <t>VÄSTRA GÖTALANDS LÄN</t>
        </is>
      </c>
      <c r="E8835" t="inlineStr">
        <is>
          <t>MELLERUD</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51029-2025</t>
        </is>
      </c>
      <c r="B8836" s="1" t="n">
        <v>45947.40092592593</v>
      </c>
      <c r="C8836" s="1" t="n">
        <v>46011</v>
      </c>
      <c r="D8836" t="inlineStr">
        <is>
          <t>VÄSTRA GÖTALANDS LÄN</t>
        </is>
      </c>
      <c r="E8836" t="inlineStr">
        <is>
          <t>FALKÖPING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37110-2023</t>
        </is>
      </c>
      <c r="B8837" s="1" t="n">
        <v>45155.55261574074</v>
      </c>
      <c r="C8837" s="1" t="n">
        <v>46011</v>
      </c>
      <c r="D8837" t="inlineStr">
        <is>
          <t>VÄSTRA GÖTALANDS LÄN</t>
        </is>
      </c>
      <c r="E8837" t="inlineStr">
        <is>
          <t>HERRLJUNGA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59606-2025</t>
        </is>
      </c>
      <c r="B8838" s="1" t="n">
        <v>45992.36221064815</v>
      </c>
      <c r="C8838" s="1" t="n">
        <v>46011</v>
      </c>
      <c r="D8838" t="inlineStr">
        <is>
          <t>VÄSTRA GÖTALANDS LÄN</t>
        </is>
      </c>
      <c r="E8838" t="inlineStr">
        <is>
          <t>UDDEVALLA</t>
        </is>
      </c>
      <c r="F8838" t="inlineStr">
        <is>
          <t>Kyrkan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20348-2025</t>
        </is>
      </c>
      <c r="B8839" s="1" t="n">
        <v>45775.38278935185</v>
      </c>
      <c r="C8839" s="1" t="n">
        <v>46011</v>
      </c>
      <c r="D8839" t="inlineStr">
        <is>
          <t>VÄSTRA GÖTALANDS LÄN</t>
        </is>
      </c>
      <c r="E8839" t="inlineStr">
        <is>
          <t>FALKÖPING</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20359-2025</t>
        </is>
      </c>
      <c r="B8840" s="1" t="n">
        <v>45775.39707175926</v>
      </c>
      <c r="C8840" s="1" t="n">
        <v>46011</v>
      </c>
      <c r="D8840" t="inlineStr">
        <is>
          <t>VÄSTRA GÖTALANDS LÄN</t>
        </is>
      </c>
      <c r="E8840" t="inlineStr">
        <is>
          <t>FÄRGELANDA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8568-2025</t>
        </is>
      </c>
      <c r="B8841" s="1" t="n">
        <v>45709.63869212963</v>
      </c>
      <c r="C8841" s="1" t="n">
        <v>46011</v>
      </c>
      <c r="D8841" t="inlineStr">
        <is>
          <t>VÄSTRA GÖTALANDS LÄN</t>
        </is>
      </c>
      <c r="E8841" t="inlineStr">
        <is>
          <t>SVENLJUNGA</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8570-2025</t>
        </is>
      </c>
      <c r="B8842" s="1" t="n">
        <v>45709.64003472222</v>
      </c>
      <c r="C8842" s="1" t="n">
        <v>46011</v>
      </c>
      <c r="D8842" t="inlineStr">
        <is>
          <t>VÄSTRA GÖTALANDS LÄN</t>
        </is>
      </c>
      <c r="E8842" t="inlineStr">
        <is>
          <t>BOLLEBYGD</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54623-2024</t>
        </is>
      </c>
      <c r="B8843" s="1" t="n">
        <v>45617.76770833333</v>
      </c>
      <c r="C8843" s="1" t="n">
        <v>46011</v>
      </c>
      <c r="D8843" t="inlineStr">
        <is>
          <t>VÄSTRA GÖTALANDS LÄN</t>
        </is>
      </c>
      <c r="E8843" t="inlineStr">
        <is>
          <t>KARLSBORG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50960-2025</t>
        </is>
      </c>
      <c r="B8844" s="1" t="n">
        <v>45946.84063657407</v>
      </c>
      <c r="C8844" s="1" t="n">
        <v>46011</v>
      </c>
      <c r="D8844" t="inlineStr">
        <is>
          <t>VÄSTRA GÖTALANDS LÄN</t>
        </is>
      </c>
      <c r="E8844" t="inlineStr">
        <is>
          <t>FALKÖPING</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18868-2025</t>
        </is>
      </c>
      <c r="B8845" s="1" t="n">
        <v>45764.43010416667</v>
      </c>
      <c r="C8845" s="1" t="n">
        <v>46011</v>
      </c>
      <c r="D8845" t="inlineStr">
        <is>
          <t>VÄSTRA GÖTALANDS LÄN</t>
        </is>
      </c>
      <c r="E8845" t="inlineStr">
        <is>
          <t>KARLSBORG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55475-2025</t>
        </is>
      </c>
      <c r="B8846" s="1" t="n">
        <v>45971</v>
      </c>
      <c r="C8846" s="1" t="n">
        <v>46011</v>
      </c>
      <c r="D8846" t="inlineStr">
        <is>
          <t>VÄSTRA GÖTALANDS LÄN</t>
        </is>
      </c>
      <c r="E8846" t="inlineStr">
        <is>
          <t>ESSUNGA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51217-2025</t>
        </is>
      </c>
      <c r="B8847" s="1" t="n">
        <v>45947.64515046297</v>
      </c>
      <c r="C8847" s="1" t="n">
        <v>46011</v>
      </c>
      <c r="D8847" t="inlineStr">
        <is>
          <t>VÄSTRA GÖTALANDS LÄN</t>
        </is>
      </c>
      <c r="E8847" t="inlineStr">
        <is>
          <t>SKÖVDE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51218-2025</t>
        </is>
      </c>
      <c r="B8848" s="1" t="n">
        <v>45947.64576388889</v>
      </c>
      <c r="C8848" s="1" t="n">
        <v>46011</v>
      </c>
      <c r="D8848" t="inlineStr">
        <is>
          <t>VÄSTRA GÖTALANDS LÄN</t>
        </is>
      </c>
      <c r="E8848" t="inlineStr">
        <is>
          <t>VARA</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8970-2025</t>
        </is>
      </c>
      <c r="B8849" s="1" t="n">
        <v>45713.4978125</v>
      </c>
      <c r="C8849" s="1" t="n">
        <v>46011</v>
      </c>
      <c r="D8849" t="inlineStr">
        <is>
          <t>VÄSTRA GÖTALANDS LÄN</t>
        </is>
      </c>
      <c r="E8849" t="inlineStr">
        <is>
          <t>HERRLJUNGA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8971-2025</t>
        </is>
      </c>
      <c r="B8850" s="1" t="n">
        <v>45713.49877314815</v>
      </c>
      <c r="C8850" s="1" t="n">
        <v>46011</v>
      </c>
      <c r="D8850" t="inlineStr">
        <is>
          <t>VÄSTRA GÖTALANDS LÄN</t>
        </is>
      </c>
      <c r="E8850" t="inlineStr">
        <is>
          <t>HERRLJUNGA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51117-2025</t>
        </is>
      </c>
      <c r="B8851" s="1" t="n">
        <v>45947.52902777777</v>
      </c>
      <c r="C8851" s="1" t="n">
        <v>46011</v>
      </c>
      <c r="D8851" t="inlineStr">
        <is>
          <t>VÄSTRA GÖTALANDS LÄN</t>
        </is>
      </c>
      <c r="E8851" t="inlineStr">
        <is>
          <t>TIBRO</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46435-2023</t>
        </is>
      </c>
      <c r="B8852" s="1" t="n">
        <v>45197</v>
      </c>
      <c r="C8852" s="1" t="n">
        <v>46011</v>
      </c>
      <c r="D8852" t="inlineStr">
        <is>
          <t>VÄSTRA GÖTALANDS LÄN</t>
        </is>
      </c>
      <c r="E8852" t="inlineStr">
        <is>
          <t>DALS-ED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59752-2025</t>
        </is>
      </c>
      <c r="B8853" s="1" t="n">
        <v>45992.58576388889</v>
      </c>
      <c r="C8853" s="1" t="n">
        <v>46011</v>
      </c>
      <c r="D8853" t="inlineStr">
        <is>
          <t>VÄSTRA GÖTALANDS LÄN</t>
        </is>
      </c>
      <c r="E8853" t="inlineStr">
        <is>
          <t>ULRICEHAMN</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59800-2025</t>
        </is>
      </c>
      <c r="B8854" s="1" t="n">
        <v>45992.61982638889</v>
      </c>
      <c r="C8854" s="1" t="n">
        <v>46011</v>
      </c>
      <c r="D8854" t="inlineStr">
        <is>
          <t>VÄSTRA GÖTALANDS LÄN</t>
        </is>
      </c>
      <c r="E8854" t="inlineStr">
        <is>
          <t>BENGTSFORS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59802-2025</t>
        </is>
      </c>
      <c r="B8855" s="1" t="n">
        <v>45992.62133101852</v>
      </c>
      <c r="C8855" s="1" t="n">
        <v>46011</v>
      </c>
      <c r="D8855" t="inlineStr">
        <is>
          <t>VÄSTRA GÖTALANDS LÄN</t>
        </is>
      </c>
      <c r="E8855" t="inlineStr">
        <is>
          <t>MELLERUD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59806-2025</t>
        </is>
      </c>
      <c r="B8856" s="1" t="n">
        <v>45992.62770833333</v>
      </c>
      <c r="C8856" s="1" t="n">
        <v>46011</v>
      </c>
      <c r="D8856" t="inlineStr">
        <is>
          <t>VÄSTRA GÖTALANDS LÄN</t>
        </is>
      </c>
      <c r="E8856" t="inlineStr">
        <is>
          <t>MELLERUD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47332-2023</t>
        </is>
      </c>
      <c r="B8857" s="1" t="n">
        <v>45202.53005787037</v>
      </c>
      <c r="C8857" s="1" t="n">
        <v>46011</v>
      </c>
      <c r="D8857" t="inlineStr">
        <is>
          <t>VÄSTRA GÖTALANDS LÄN</t>
        </is>
      </c>
      <c r="E8857" t="inlineStr">
        <is>
          <t>VARA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59834-2025</t>
        </is>
      </c>
      <c r="B8858" s="1" t="n">
        <v>45992.66811342593</v>
      </c>
      <c r="C8858" s="1" t="n">
        <v>46011</v>
      </c>
      <c r="D8858" t="inlineStr">
        <is>
          <t>VÄSTRA GÖTALANDS LÄN</t>
        </is>
      </c>
      <c r="E8858" t="inlineStr">
        <is>
          <t>ORUST</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59366-2025</t>
        </is>
      </c>
      <c r="B8859" s="1" t="n">
        <v>45989.44545138889</v>
      </c>
      <c r="C8859" s="1" t="n">
        <v>46011</v>
      </c>
      <c r="D8859" t="inlineStr">
        <is>
          <t>VÄSTRA GÖTALANDS LÄN</t>
        </is>
      </c>
      <c r="E8859" t="inlineStr">
        <is>
          <t>SKÖVDE</t>
        </is>
      </c>
      <c r="F8859" t="inlineStr">
        <is>
          <t>Kommuner</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59392-2025</t>
        </is>
      </c>
      <c r="B8860" s="1" t="n">
        <v>45989.47251157407</v>
      </c>
      <c r="C8860" s="1" t="n">
        <v>46011</v>
      </c>
      <c r="D8860" t="inlineStr">
        <is>
          <t>VÄSTRA GÖTALANDS LÄN</t>
        </is>
      </c>
      <c r="E8860" t="inlineStr">
        <is>
          <t>BORÅS</t>
        </is>
      </c>
      <c r="F8860" t="inlineStr">
        <is>
          <t>Kyrkan</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59618-2025</t>
        </is>
      </c>
      <c r="B8861" s="1" t="n">
        <v>45992.37965277778</v>
      </c>
      <c r="C8861" s="1" t="n">
        <v>46011</v>
      </c>
      <c r="D8861" t="inlineStr">
        <is>
          <t>VÄSTRA GÖTALANDS LÄN</t>
        </is>
      </c>
      <c r="E8861" t="inlineStr">
        <is>
          <t>ULRICEHAMN</t>
        </is>
      </c>
      <c r="F8861" t="inlineStr">
        <is>
          <t>Sveaskog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59637-2025</t>
        </is>
      </c>
      <c r="B8862" s="1" t="n">
        <v>45992.40696759259</v>
      </c>
      <c r="C8862" s="1" t="n">
        <v>46011</v>
      </c>
      <c r="D8862" t="inlineStr">
        <is>
          <t>VÄSTRA GÖTALANDS LÄN</t>
        </is>
      </c>
      <c r="E8862" t="inlineStr">
        <is>
          <t>BENGTSFORS</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51468-2025</t>
        </is>
      </c>
      <c r="B8863" s="1" t="n">
        <v>45950.6122800926</v>
      </c>
      <c r="C8863" s="1" t="n">
        <v>46011</v>
      </c>
      <c r="D8863" t="inlineStr">
        <is>
          <t>VÄSTRA GÖTALANDS LÄN</t>
        </is>
      </c>
      <c r="E8863" t="inlineStr">
        <is>
          <t>FÄRGELANDA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20141-2023</t>
        </is>
      </c>
      <c r="B8864" s="1" t="n">
        <v>45055.43131944445</v>
      </c>
      <c r="C8864" s="1" t="n">
        <v>46011</v>
      </c>
      <c r="D8864" t="inlineStr">
        <is>
          <t>VÄSTRA GÖTALANDS LÄN</t>
        </is>
      </c>
      <c r="E8864" t="inlineStr">
        <is>
          <t>ÅMÅL</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49737-2025</t>
        </is>
      </c>
      <c r="B8865" s="1" t="n">
        <v>45940.30331018518</v>
      </c>
      <c r="C8865" s="1" t="n">
        <v>46011</v>
      </c>
      <c r="D8865" t="inlineStr">
        <is>
          <t>VÄSTRA GÖTALANDS LÄN</t>
        </is>
      </c>
      <c r="E8865" t="inlineStr">
        <is>
          <t>UDDEVALLA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51003-2025</t>
        </is>
      </c>
      <c r="B8866" s="1" t="n">
        <v>45947.36222222223</v>
      </c>
      <c r="C8866" s="1" t="n">
        <v>46011</v>
      </c>
      <c r="D8866" t="inlineStr">
        <is>
          <t>VÄSTRA GÖTALANDS LÄN</t>
        </is>
      </c>
      <c r="E8866" t="inlineStr">
        <is>
          <t>BENGTSFORS</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51009-2025</t>
        </is>
      </c>
      <c r="B8867" s="1" t="n">
        <v>45947.37550925926</v>
      </c>
      <c r="C8867" s="1" t="n">
        <v>46011</v>
      </c>
      <c r="D8867" t="inlineStr">
        <is>
          <t>VÄSTRA GÖTALANDS LÄN</t>
        </is>
      </c>
      <c r="E8867" t="inlineStr">
        <is>
          <t>HÄRRYDA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39611-2022</t>
        </is>
      </c>
      <c r="B8868" s="1" t="n">
        <v>44818.63516203704</v>
      </c>
      <c r="C8868" s="1" t="n">
        <v>46011</v>
      </c>
      <c r="D8868" t="inlineStr">
        <is>
          <t>VÄSTRA GÖTALANDS LÄN</t>
        </is>
      </c>
      <c r="E8868" t="inlineStr">
        <is>
          <t>TROLLHÄTTAN</t>
        </is>
      </c>
      <c r="F8868" t="inlineStr">
        <is>
          <t>Kommuner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51415-2025</t>
        </is>
      </c>
      <c r="B8869" s="1" t="n">
        <v>45950.5109375</v>
      </c>
      <c r="C8869" s="1" t="n">
        <v>46011</v>
      </c>
      <c r="D8869" t="inlineStr">
        <is>
          <t>VÄSTRA GÖTALANDS LÄN</t>
        </is>
      </c>
      <c r="E8869" t="inlineStr">
        <is>
          <t>TRANEMO</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19847-2025</t>
        </is>
      </c>
      <c r="B8870" s="1" t="n">
        <v>45771.48996527777</v>
      </c>
      <c r="C8870" s="1" t="n">
        <v>46011</v>
      </c>
      <c r="D8870" t="inlineStr">
        <is>
          <t>VÄSTRA GÖTALANDS LÄN</t>
        </is>
      </c>
      <c r="E8870" t="inlineStr">
        <is>
          <t>UDDEVALLA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51483-2025</t>
        </is>
      </c>
      <c r="B8871" s="1" t="n">
        <v>45950.6207175926</v>
      </c>
      <c r="C8871" s="1" t="n">
        <v>46011</v>
      </c>
      <c r="D8871" t="inlineStr">
        <is>
          <t>VÄSTRA GÖTALANDS LÄN</t>
        </is>
      </c>
      <c r="E8871" t="inlineStr">
        <is>
          <t>FÄRGELANDA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35761-2021</t>
        </is>
      </c>
      <c r="B8872" s="1" t="n">
        <v>44386.58719907407</v>
      </c>
      <c r="C8872" s="1" t="n">
        <v>46011</v>
      </c>
      <c r="D8872" t="inlineStr">
        <is>
          <t>VÄSTRA GÖTALANDS LÄN</t>
        </is>
      </c>
      <c r="E8872" t="inlineStr">
        <is>
          <t>FÄRGELANDA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9871-2025</t>
        </is>
      </c>
      <c r="B8873" s="1" t="n">
        <v>45716.64547453704</v>
      </c>
      <c r="C8873" s="1" t="n">
        <v>46011</v>
      </c>
      <c r="D8873" t="inlineStr">
        <is>
          <t>VÄSTRA GÖTALANDS LÄN</t>
        </is>
      </c>
      <c r="E8873" t="inlineStr">
        <is>
          <t>ULRICEHAMN</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59600-2025</t>
        </is>
      </c>
      <c r="B8874" s="1" t="n">
        <v>45992.35840277778</v>
      </c>
      <c r="C8874" s="1" t="n">
        <v>46011</v>
      </c>
      <c r="D8874" t="inlineStr">
        <is>
          <t>VÄSTRA GÖTALANDS LÄN</t>
        </is>
      </c>
      <c r="E8874" t="inlineStr">
        <is>
          <t>ULRICEHAMN</t>
        </is>
      </c>
      <c r="F8874" t="inlineStr">
        <is>
          <t>Sveaskog</t>
        </is>
      </c>
      <c r="G8874" t="n">
        <v>27.9</v>
      </c>
      <c r="H8874" t="n">
        <v>0</v>
      </c>
      <c r="I8874" t="n">
        <v>0</v>
      </c>
      <c r="J8874" t="n">
        <v>0</v>
      </c>
      <c r="K8874" t="n">
        <v>0</v>
      </c>
      <c r="L8874" t="n">
        <v>0</v>
      </c>
      <c r="M8874" t="n">
        <v>0</v>
      </c>
      <c r="N8874" t="n">
        <v>0</v>
      </c>
      <c r="O8874" t="n">
        <v>0</v>
      </c>
      <c r="P8874" t="n">
        <v>0</v>
      </c>
      <c r="Q8874" t="n">
        <v>0</v>
      </c>
      <c r="R8874" s="2" t="inlineStr"/>
    </row>
    <row r="8875" ht="15" customHeight="1">
      <c r="A8875" t="inlineStr">
        <is>
          <t>A 59620-2025</t>
        </is>
      </c>
      <c r="B8875" s="1" t="n">
        <v>45992.38416666666</v>
      </c>
      <c r="C8875" s="1" t="n">
        <v>46011</v>
      </c>
      <c r="D8875" t="inlineStr">
        <is>
          <t>VÄSTRA GÖTALANDS LÄN</t>
        </is>
      </c>
      <c r="E8875" t="inlineStr">
        <is>
          <t>ULRICEHAMN</t>
        </is>
      </c>
      <c r="F8875" t="inlineStr">
        <is>
          <t>Sveaskog</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29300-2024</t>
        </is>
      </c>
      <c r="B8876" s="1" t="n">
        <v>45483</v>
      </c>
      <c r="C8876" s="1" t="n">
        <v>46011</v>
      </c>
      <c r="D8876" t="inlineStr">
        <is>
          <t>VÄSTRA GÖTALANDS LÄN</t>
        </is>
      </c>
      <c r="E8876" t="inlineStr">
        <is>
          <t>TROLLHÄTTAN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29329-2024</t>
        </is>
      </c>
      <c r="B8877" s="1" t="n">
        <v>45483.44387731481</v>
      </c>
      <c r="C8877" s="1" t="n">
        <v>46011</v>
      </c>
      <c r="D8877" t="inlineStr">
        <is>
          <t>VÄSTRA GÖTALANDS LÄN</t>
        </is>
      </c>
      <c r="E8877" t="inlineStr">
        <is>
          <t>STRÖMSTAD</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9954-2025</t>
        </is>
      </c>
      <c r="B8878" s="1" t="n">
        <v>45719.35216435185</v>
      </c>
      <c r="C8878" s="1" t="n">
        <v>46011</v>
      </c>
      <c r="D8878" t="inlineStr">
        <is>
          <t>VÄSTRA GÖTALANDS LÄN</t>
        </is>
      </c>
      <c r="E8878" t="inlineStr">
        <is>
          <t>TIBRO</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59394-2025</t>
        </is>
      </c>
      <c r="B8879" s="1" t="n">
        <v>45989.47519675926</v>
      </c>
      <c r="C8879" s="1" t="n">
        <v>46011</v>
      </c>
      <c r="D8879" t="inlineStr">
        <is>
          <t>VÄSTRA GÖTALANDS LÄN</t>
        </is>
      </c>
      <c r="E8879" t="inlineStr">
        <is>
          <t>DALS-ED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59396-2025</t>
        </is>
      </c>
      <c r="B8880" s="1" t="n">
        <v>45989.47740740741</v>
      </c>
      <c r="C8880" s="1" t="n">
        <v>46011</v>
      </c>
      <c r="D8880" t="inlineStr">
        <is>
          <t>VÄSTRA GÖTALANDS LÄN</t>
        </is>
      </c>
      <c r="E8880" t="inlineStr">
        <is>
          <t>ALINGSÅS</t>
        </is>
      </c>
      <c r="F8880" t="inlineStr">
        <is>
          <t>Kyrkan</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63878-2021</t>
        </is>
      </c>
      <c r="B8881" s="1" t="n">
        <v>44509</v>
      </c>
      <c r="C8881" s="1" t="n">
        <v>46011</v>
      </c>
      <c r="D8881" t="inlineStr">
        <is>
          <t>VÄSTRA GÖTALANDS LÄN</t>
        </is>
      </c>
      <c r="E8881" t="inlineStr">
        <is>
          <t>UDDEVALLA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59397-2025</t>
        </is>
      </c>
      <c r="B8882" s="1" t="n">
        <v>45989.4797800926</v>
      </c>
      <c r="C8882" s="1" t="n">
        <v>46011</v>
      </c>
      <c r="D8882" t="inlineStr">
        <is>
          <t>VÄSTRA GÖTALANDS LÄN</t>
        </is>
      </c>
      <c r="E8882" t="inlineStr">
        <is>
          <t>ALINGSÅS</t>
        </is>
      </c>
      <c r="F8882" t="inlineStr">
        <is>
          <t>Kyrkan</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30491-2021</t>
        </is>
      </c>
      <c r="B8883" s="1" t="n">
        <v>44364.62407407408</v>
      </c>
      <c r="C8883" s="1" t="n">
        <v>46011</v>
      </c>
      <c r="D8883" t="inlineStr">
        <is>
          <t>VÄSTRA GÖTALANDS LÄN</t>
        </is>
      </c>
      <c r="E8883" t="inlineStr">
        <is>
          <t>MARK</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51148-2025</t>
        </is>
      </c>
      <c r="B8884" s="1" t="n">
        <v>45947.57166666666</v>
      </c>
      <c r="C8884" s="1" t="n">
        <v>46011</v>
      </c>
      <c r="D8884" t="inlineStr">
        <is>
          <t>VÄSTRA GÖTALANDS LÄN</t>
        </is>
      </c>
      <c r="E8884" t="inlineStr">
        <is>
          <t>HERRLJUNGA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30518-2021</t>
        </is>
      </c>
      <c r="B8885" s="1" t="n">
        <v>44364</v>
      </c>
      <c r="C8885" s="1" t="n">
        <v>46011</v>
      </c>
      <c r="D8885" t="inlineStr">
        <is>
          <t>VÄSTRA GÖTALANDS LÄN</t>
        </is>
      </c>
      <c r="E8885" t="inlineStr">
        <is>
          <t>LERUM</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55951-2025</t>
        </is>
      </c>
      <c r="B8886" s="1" t="n">
        <v>45973.47078703704</v>
      </c>
      <c r="C8886" s="1" t="n">
        <v>46011</v>
      </c>
      <c r="D8886" t="inlineStr">
        <is>
          <t>VÄSTRA GÖTALANDS LÄN</t>
        </is>
      </c>
      <c r="E8886" t="inlineStr">
        <is>
          <t>MARIESTAD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51298-2025</t>
        </is>
      </c>
      <c r="B8887" s="1" t="n">
        <v>45950.36163194444</v>
      </c>
      <c r="C8887" s="1" t="n">
        <v>46011</v>
      </c>
      <c r="D8887" t="inlineStr">
        <is>
          <t>VÄSTRA GÖTALANDS LÄN</t>
        </is>
      </c>
      <c r="E8887" t="inlineStr">
        <is>
          <t>HERRLJUNGA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36603-2022</t>
        </is>
      </c>
      <c r="B8888" s="1" t="n">
        <v>44804.6522800926</v>
      </c>
      <c r="C8888" s="1" t="n">
        <v>46011</v>
      </c>
      <c r="D8888" t="inlineStr">
        <is>
          <t>VÄSTRA GÖTALANDS LÄN</t>
        </is>
      </c>
      <c r="E8888" t="inlineStr">
        <is>
          <t>ESSUNGA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40493-2022</t>
        </is>
      </c>
      <c r="B8889" s="1" t="n">
        <v>44819</v>
      </c>
      <c r="C8889" s="1" t="n">
        <v>46011</v>
      </c>
      <c r="D8889" t="inlineStr">
        <is>
          <t>VÄSTRA GÖTALANDS LÄN</t>
        </is>
      </c>
      <c r="E8889" t="inlineStr">
        <is>
          <t>ÅMÅL</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41778-2023</t>
        </is>
      </c>
      <c r="B8890" s="1" t="n">
        <v>45176.47136574074</v>
      </c>
      <c r="C8890" s="1" t="n">
        <v>46011</v>
      </c>
      <c r="D8890" t="inlineStr">
        <is>
          <t>VÄSTRA GÖTALANDS LÄN</t>
        </is>
      </c>
      <c r="E8890" t="inlineStr">
        <is>
          <t>BORÅS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41799-2023</t>
        </is>
      </c>
      <c r="B8891" s="1" t="n">
        <v>45176.49778935185</v>
      </c>
      <c r="C8891" s="1" t="n">
        <v>46011</v>
      </c>
      <c r="D8891" t="inlineStr">
        <is>
          <t>VÄSTRA GÖTALANDS LÄN</t>
        </is>
      </c>
      <c r="E8891" t="inlineStr">
        <is>
          <t>SVENLJUNGA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39315-2022</t>
        </is>
      </c>
      <c r="B8892" s="1" t="n">
        <v>44817.70091435185</v>
      </c>
      <c r="C8892" s="1" t="n">
        <v>46011</v>
      </c>
      <c r="D8892" t="inlineStr">
        <is>
          <t>VÄSTRA GÖTALANDS LÄN</t>
        </is>
      </c>
      <c r="E8892" t="inlineStr">
        <is>
          <t>TIDAHOLM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51179-2025</t>
        </is>
      </c>
      <c r="B8893" s="1" t="n">
        <v>45947</v>
      </c>
      <c r="C8893" s="1" t="n">
        <v>46011</v>
      </c>
      <c r="D8893" t="inlineStr">
        <is>
          <t>VÄSTRA GÖTALANDS LÄN</t>
        </is>
      </c>
      <c r="E8893" t="inlineStr">
        <is>
          <t>GULLSPÅNG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55723-2025</t>
        </is>
      </c>
      <c r="B8894" s="1" t="n">
        <v>45972.5234375</v>
      </c>
      <c r="C8894" s="1" t="n">
        <v>46011</v>
      </c>
      <c r="D8894" t="inlineStr">
        <is>
          <t>VÄSTRA GÖTALANDS LÄN</t>
        </is>
      </c>
      <c r="E8894" t="inlineStr">
        <is>
          <t>UDDEVALLA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531-2024</t>
        </is>
      </c>
      <c r="B8895" s="1" t="n">
        <v>45299</v>
      </c>
      <c r="C8895" s="1" t="n">
        <v>46011</v>
      </c>
      <c r="D8895" t="inlineStr">
        <is>
          <t>VÄSTRA GÖTALANDS LÄN</t>
        </is>
      </c>
      <c r="E8895" t="inlineStr">
        <is>
          <t>ULRICEHAMN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544-2024</t>
        </is>
      </c>
      <c r="B8896" s="1" t="n">
        <v>45299</v>
      </c>
      <c r="C8896" s="1" t="n">
        <v>46011</v>
      </c>
      <c r="D8896" t="inlineStr">
        <is>
          <t>VÄSTRA GÖTALANDS LÄN</t>
        </is>
      </c>
      <c r="E8896" t="inlineStr">
        <is>
          <t>ULRICEHAMN</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51337-2025</t>
        </is>
      </c>
      <c r="B8897" s="1" t="n">
        <v>45950.42579861111</v>
      </c>
      <c r="C8897" s="1" t="n">
        <v>46011</v>
      </c>
      <c r="D8897" t="inlineStr">
        <is>
          <t>VÄSTRA GÖTALANDS LÄN</t>
        </is>
      </c>
      <c r="E8897" t="inlineStr">
        <is>
          <t>SVENLJUNGA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33010-2022</t>
        </is>
      </c>
      <c r="B8898" s="1" t="n">
        <v>44785</v>
      </c>
      <c r="C8898" s="1" t="n">
        <v>46011</v>
      </c>
      <c r="D8898" t="inlineStr">
        <is>
          <t>VÄSTRA GÖTALANDS LÄN</t>
        </is>
      </c>
      <c r="E8898" t="inlineStr">
        <is>
          <t>STENUNGSUND</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42560-2022</t>
        </is>
      </c>
      <c r="B8899" s="1" t="n">
        <v>44831</v>
      </c>
      <c r="C8899" s="1" t="n">
        <v>46011</v>
      </c>
      <c r="D8899" t="inlineStr">
        <is>
          <t>VÄSTRA GÖTALANDS LÄN</t>
        </is>
      </c>
      <c r="E8899" t="inlineStr">
        <is>
          <t>TRANEMO</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65095-2023</t>
        </is>
      </c>
      <c r="B8900" s="1" t="n">
        <v>45288.40486111111</v>
      </c>
      <c r="C8900" s="1" t="n">
        <v>46011</v>
      </c>
      <c r="D8900" t="inlineStr">
        <is>
          <t>VÄSTRA GÖTALANDS LÄN</t>
        </is>
      </c>
      <c r="E8900" t="inlineStr">
        <is>
          <t>SKARA</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42574-2022</t>
        </is>
      </c>
      <c r="B8901" s="1" t="n">
        <v>44831.67641203704</v>
      </c>
      <c r="C8901" s="1" t="n">
        <v>46011</v>
      </c>
      <c r="D8901" t="inlineStr">
        <is>
          <t>VÄSTRA GÖTALANDS LÄN</t>
        </is>
      </c>
      <c r="E8901" t="inlineStr">
        <is>
          <t>TRANEMO</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59788-2025</t>
        </is>
      </c>
      <c r="B8902" s="1" t="n">
        <v>45992.61476851852</v>
      </c>
      <c r="C8902" s="1" t="n">
        <v>46011</v>
      </c>
      <c r="D8902" t="inlineStr">
        <is>
          <t>VÄSTRA GÖTALANDS LÄN</t>
        </is>
      </c>
      <c r="E8902" t="inlineStr">
        <is>
          <t>BENGTSFORS</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59792-2025</t>
        </is>
      </c>
      <c r="B8903" s="1" t="n">
        <v>45992.61622685185</v>
      </c>
      <c r="C8903" s="1" t="n">
        <v>46011</v>
      </c>
      <c r="D8903" t="inlineStr">
        <is>
          <t>VÄSTRA GÖTALANDS LÄN</t>
        </is>
      </c>
      <c r="E8903" t="inlineStr">
        <is>
          <t>BENGTSFORS</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59749-2025</t>
        </is>
      </c>
      <c r="B8904" s="1" t="n">
        <v>45992.58390046296</v>
      </c>
      <c r="C8904" s="1" t="n">
        <v>46011</v>
      </c>
      <c r="D8904" t="inlineStr">
        <is>
          <t>VÄSTRA GÖTALANDS LÄN</t>
        </is>
      </c>
      <c r="E8904" t="inlineStr">
        <is>
          <t>ULRICEHAMN</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22084-2024</t>
        </is>
      </c>
      <c r="B8905" s="1" t="n">
        <v>45443.6706712963</v>
      </c>
      <c r="C8905" s="1" t="n">
        <v>46011</v>
      </c>
      <c r="D8905" t="inlineStr">
        <is>
          <t>VÄSTRA GÖTALANDS LÄN</t>
        </is>
      </c>
      <c r="E8905" t="inlineStr">
        <is>
          <t>TIDAHOLM</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39867-2023</t>
        </is>
      </c>
      <c r="B8906" s="1" t="n">
        <v>45168.39663194444</v>
      </c>
      <c r="C8906" s="1" t="n">
        <v>46011</v>
      </c>
      <c r="D8906" t="inlineStr">
        <is>
          <t>VÄSTRA GÖTALANDS LÄN</t>
        </is>
      </c>
      <c r="E8906" t="inlineStr">
        <is>
          <t>UDDEVALLA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51429-2025</t>
        </is>
      </c>
      <c r="B8907" s="1" t="n">
        <v>45949</v>
      </c>
      <c r="C8907" s="1" t="n">
        <v>46011</v>
      </c>
      <c r="D8907" t="inlineStr">
        <is>
          <t>VÄSTRA GÖTALANDS LÄN</t>
        </is>
      </c>
      <c r="E8907" t="inlineStr">
        <is>
          <t>STRÖMSTAD</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40841-2023</t>
        </is>
      </c>
      <c r="B8908" s="1" t="n">
        <v>45172</v>
      </c>
      <c r="C8908" s="1" t="n">
        <v>46011</v>
      </c>
      <c r="D8908" t="inlineStr">
        <is>
          <t>VÄSTRA GÖTALANDS LÄN</t>
        </is>
      </c>
      <c r="E8908" t="inlineStr">
        <is>
          <t>HERRLJUNGA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4624-2025</t>
        </is>
      </c>
      <c r="B8909" s="1" t="n">
        <v>45687.62030092593</v>
      </c>
      <c r="C8909" s="1" t="n">
        <v>46011</v>
      </c>
      <c r="D8909" t="inlineStr">
        <is>
          <t>VÄSTRA GÖTALANDS LÄN</t>
        </is>
      </c>
      <c r="E8909" t="inlineStr">
        <is>
          <t>VARA</t>
        </is>
      </c>
      <c r="G8909" t="n">
        <v>11.7</v>
      </c>
      <c r="H8909" t="n">
        <v>0</v>
      </c>
      <c r="I8909" t="n">
        <v>0</v>
      </c>
      <c r="J8909" t="n">
        <v>0</v>
      </c>
      <c r="K8909" t="n">
        <v>0</v>
      </c>
      <c r="L8909" t="n">
        <v>0</v>
      </c>
      <c r="M8909" t="n">
        <v>0</v>
      </c>
      <c r="N8909" t="n">
        <v>0</v>
      </c>
      <c r="O8909" t="n">
        <v>0</v>
      </c>
      <c r="P8909" t="n">
        <v>0</v>
      </c>
      <c r="Q8909" t="n">
        <v>0</v>
      </c>
      <c r="R8909" s="2" t="inlineStr"/>
    </row>
    <row r="8910" ht="15" customHeight="1">
      <c r="A8910" t="inlineStr">
        <is>
          <t>A 51106-2025</t>
        </is>
      </c>
      <c r="B8910" s="1" t="n">
        <v>45947.49642361111</v>
      </c>
      <c r="C8910" s="1" t="n">
        <v>46011</v>
      </c>
      <c r="D8910" t="inlineStr">
        <is>
          <t>VÄSTRA GÖTALANDS LÄN</t>
        </is>
      </c>
      <c r="E8910" t="inlineStr">
        <is>
          <t>BENGTSFORS</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31078-2021</t>
        </is>
      </c>
      <c r="B8911" s="1" t="n">
        <v>44368</v>
      </c>
      <c r="C8911" s="1" t="n">
        <v>46011</v>
      </c>
      <c r="D8911" t="inlineStr">
        <is>
          <t>VÄSTRA GÖTALANDS LÄN</t>
        </is>
      </c>
      <c r="E8911" t="inlineStr">
        <is>
          <t>DALS-ED</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51141-2025</t>
        </is>
      </c>
      <c r="B8912" s="1" t="n">
        <v>45947.56348379629</v>
      </c>
      <c r="C8912" s="1" t="n">
        <v>46011</v>
      </c>
      <c r="D8912" t="inlineStr">
        <is>
          <t>VÄSTRA GÖTALANDS LÄN</t>
        </is>
      </c>
      <c r="E8912" t="inlineStr">
        <is>
          <t>GULLSPÅNG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40331-2022</t>
        </is>
      </c>
      <c r="B8913" s="1" t="n">
        <v>44823.35134259259</v>
      </c>
      <c r="C8913" s="1" t="n">
        <v>46011</v>
      </c>
      <c r="D8913" t="inlineStr">
        <is>
          <t>VÄSTRA GÖTALANDS LÄN</t>
        </is>
      </c>
      <c r="E8913" t="inlineStr">
        <is>
          <t>VARA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51046-2025</t>
        </is>
      </c>
      <c r="B8914" s="1" t="n">
        <v>45947.42858796296</v>
      </c>
      <c r="C8914" s="1" t="n">
        <v>46011</v>
      </c>
      <c r="D8914" t="inlineStr">
        <is>
          <t>VÄSTRA GÖTALANDS LÄN</t>
        </is>
      </c>
      <c r="E8914" t="inlineStr">
        <is>
          <t>ULRICEHAMN</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51107-2025</t>
        </is>
      </c>
      <c r="B8915" s="1" t="n">
        <v>45947.49659722222</v>
      </c>
      <c r="C8915" s="1" t="n">
        <v>46011</v>
      </c>
      <c r="D8915" t="inlineStr">
        <is>
          <t>VÄSTRA GÖTALANDS LÄN</t>
        </is>
      </c>
      <c r="E8915" t="inlineStr">
        <is>
          <t>SVENLJUNGA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12112-2025</t>
        </is>
      </c>
      <c r="B8916" s="1" t="n">
        <v>45729.36171296296</v>
      </c>
      <c r="C8916" s="1" t="n">
        <v>46011</v>
      </c>
      <c r="D8916" t="inlineStr">
        <is>
          <t>VÄSTRA GÖTALANDS LÄN</t>
        </is>
      </c>
      <c r="E8916" t="inlineStr">
        <is>
          <t>GRÄSTORP</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59508-2025</t>
        </is>
      </c>
      <c r="B8917" s="1" t="n">
        <v>45989.64269675926</v>
      </c>
      <c r="C8917" s="1" t="n">
        <v>46011</v>
      </c>
      <c r="D8917" t="inlineStr">
        <is>
          <t>VÄSTRA GÖTALANDS LÄN</t>
        </is>
      </c>
      <c r="E8917" t="inlineStr">
        <is>
          <t>VÅRGÅRDA</t>
        </is>
      </c>
      <c r="F8917" t="inlineStr">
        <is>
          <t>Kyrkan</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51310-2025</t>
        </is>
      </c>
      <c r="B8918" s="1" t="n">
        <v>45950.36862268519</v>
      </c>
      <c r="C8918" s="1" t="n">
        <v>46011</v>
      </c>
      <c r="D8918" t="inlineStr">
        <is>
          <t>VÄSTRA GÖTALANDS LÄN</t>
        </is>
      </c>
      <c r="E8918" t="inlineStr">
        <is>
          <t>HERRLJUNGA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51056-2022</t>
        </is>
      </c>
      <c r="B8919" s="1" t="n">
        <v>44868</v>
      </c>
      <c r="C8919" s="1" t="n">
        <v>46011</v>
      </c>
      <c r="D8919" t="inlineStr">
        <is>
          <t>VÄSTRA GÖTALANDS LÄN</t>
        </is>
      </c>
      <c r="E8919" t="inlineStr">
        <is>
          <t>ÅMÅL</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43374-2021</t>
        </is>
      </c>
      <c r="B8920" s="1" t="n">
        <v>44432</v>
      </c>
      <c r="C8920" s="1" t="n">
        <v>46011</v>
      </c>
      <c r="D8920" t="inlineStr">
        <is>
          <t>VÄSTRA GÖTALANDS LÄN</t>
        </is>
      </c>
      <c r="E8920" t="inlineStr">
        <is>
          <t>TROLLHÄTTAN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6232-2024</t>
        </is>
      </c>
      <c r="B8921" s="1" t="n">
        <v>45337</v>
      </c>
      <c r="C8921" s="1" t="n">
        <v>46011</v>
      </c>
      <c r="D8921" t="inlineStr">
        <is>
          <t>VÄSTRA GÖTALANDS LÄN</t>
        </is>
      </c>
      <c r="E8921" t="inlineStr">
        <is>
          <t>GULLSPÅNG</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37700-2021</t>
        </is>
      </c>
      <c r="B8922" s="1" t="n">
        <v>44400</v>
      </c>
      <c r="C8922" s="1" t="n">
        <v>46011</v>
      </c>
      <c r="D8922" t="inlineStr">
        <is>
          <t>VÄSTRA GÖTALANDS LÄN</t>
        </is>
      </c>
      <c r="E8922" t="inlineStr">
        <is>
          <t>GULLSPÅNG</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38671-2024</t>
        </is>
      </c>
      <c r="B8923" s="1" t="n">
        <v>45547.32871527778</v>
      </c>
      <c r="C8923" s="1" t="n">
        <v>46011</v>
      </c>
      <c r="D8923" t="inlineStr">
        <is>
          <t>VÄSTRA GÖTALANDS LÄN</t>
        </is>
      </c>
      <c r="E8923" t="inlineStr">
        <is>
          <t>DALS-ED</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38674-2024</t>
        </is>
      </c>
      <c r="B8924" s="1" t="n">
        <v>45547.33179398148</v>
      </c>
      <c r="C8924" s="1" t="n">
        <v>46011</v>
      </c>
      <c r="D8924" t="inlineStr">
        <is>
          <t>VÄSTRA GÖTALANDS LÄN</t>
        </is>
      </c>
      <c r="E8924" t="inlineStr">
        <is>
          <t>BORÅS</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29229-2021</t>
        </is>
      </c>
      <c r="B8925" s="1" t="n">
        <v>44360</v>
      </c>
      <c r="C8925" s="1" t="n">
        <v>46011</v>
      </c>
      <c r="D8925" t="inlineStr">
        <is>
          <t>VÄSTRA GÖTALANDS LÄN</t>
        </is>
      </c>
      <c r="E8925" t="inlineStr">
        <is>
          <t>FALKÖPING</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9315-2025</t>
        </is>
      </c>
      <c r="B8926" s="1" t="n">
        <v>45714.70159722222</v>
      </c>
      <c r="C8926" s="1" t="n">
        <v>46011</v>
      </c>
      <c r="D8926" t="inlineStr">
        <is>
          <t>VÄSTRA GÖTALANDS LÄN</t>
        </is>
      </c>
      <c r="E8926" t="inlineStr">
        <is>
          <t>TRANEMO</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9317-2025</t>
        </is>
      </c>
      <c r="B8927" s="1" t="n">
        <v>45714.70980324074</v>
      </c>
      <c r="C8927" s="1" t="n">
        <v>46011</v>
      </c>
      <c r="D8927" t="inlineStr">
        <is>
          <t>VÄSTRA GÖTALANDS LÄN</t>
        </is>
      </c>
      <c r="E8927" t="inlineStr">
        <is>
          <t>TRANEMO</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33244-2021</t>
        </is>
      </c>
      <c r="B8928" s="1" t="n">
        <v>44377</v>
      </c>
      <c r="C8928" s="1" t="n">
        <v>46011</v>
      </c>
      <c r="D8928" t="inlineStr">
        <is>
          <t>VÄSTRA GÖTALANDS LÄN</t>
        </is>
      </c>
      <c r="E8928" t="inlineStr">
        <is>
          <t>KUNGÄLV</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51146-2025</t>
        </is>
      </c>
      <c r="B8929" s="1" t="n">
        <v>45947.57024305555</v>
      </c>
      <c r="C8929" s="1" t="n">
        <v>46011</v>
      </c>
      <c r="D8929" t="inlineStr">
        <is>
          <t>VÄSTRA GÖTALANDS LÄN</t>
        </is>
      </c>
      <c r="E8929" t="inlineStr">
        <is>
          <t>HERRLJUNGA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3769-2025</t>
        </is>
      </c>
      <c r="B8930" s="1" t="n">
        <v>45681.60335648148</v>
      </c>
      <c r="C8930" s="1" t="n">
        <v>46011</v>
      </c>
      <c r="D8930" t="inlineStr">
        <is>
          <t>VÄSTRA GÖTALANDS LÄN</t>
        </is>
      </c>
      <c r="E8930" t="inlineStr">
        <is>
          <t>ALINGSÅS</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59409-2025</t>
        </is>
      </c>
      <c r="B8931" s="1" t="n">
        <v>45989.49545138889</v>
      </c>
      <c r="C8931" s="1" t="n">
        <v>46011</v>
      </c>
      <c r="D8931" t="inlineStr">
        <is>
          <t>VÄSTRA GÖTALANDS LÄN</t>
        </is>
      </c>
      <c r="E8931" t="inlineStr">
        <is>
          <t>ALE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16181-2025</t>
        </is>
      </c>
      <c r="B8932" s="1" t="n">
        <v>45750.5753587963</v>
      </c>
      <c r="C8932" s="1" t="n">
        <v>46011</v>
      </c>
      <c r="D8932" t="inlineStr">
        <is>
          <t>VÄSTRA GÖTALANDS LÄN</t>
        </is>
      </c>
      <c r="E8932" t="inlineStr">
        <is>
          <t>BENGTSFORS</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43406-2025</t>
        </is>
      </c>
      <c r="B8933" s="1" t="n">
        <v>45911.39155092592</v>
      </c>
      <c r="C8933" s="1" t="n">
        <v>46011</v>
      </c>
      <c r="D8933" t="inlineStr">
        <is>
          <t>VÄSTRA GÖTALANDS LÄN</t>
        </is>
      </c>
      <c r="E8933" t="inlineStr">
        <is>
          <t>MELLERUD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50963-2025</t>
        </is>
      </c>
      <c r="B8934" s="1" t="n">
        <v>45946.8708449074</v>
      </c>
      <c r="C8934" s="1" t="n">
        <v>46011</v>
      </c>
      <c r="D8934" t="inlineStr">
        <is>
          <t>VÄSTRA GÖTALANDS LÄN</t>
        </is>
      </c>
      <c r="E8934" t="inlineStr">
        <is>
          <t>TANUM</t>
        </is>
      </c>
      <c r="F8934" t="inlineStr">
        <is>
          <t>Kyrkan</t>
        </is>
      </c>
      <c r="G8934" t="n">
        <v>9.1</v>
      </c>
      <c r="H8934" t="n">
        <v>0</v>
      </c>
      <c r="I8934" t="n">
        <v>0</v>
      </c>
      <c r="J8934" t="n">
        <v>0</v>
      </c>
      <c r="K8934" t="n">
        <v>0</v>
      </c>
      <c r="L8934" t="n">
        <v>0</v>
      </c>
      <c r="M8934" t="n">
        <v>0</v>
      </c>
      <c r="N8934" t="n">
        <v>0</v>
      </c>
      <c r="O8934" t="n">
        <v>0</v>
      </c>
      <c r="P8934" t="n">
        <v>0</v>
      </c>
      <c r="Q8934" t="n">
        <v>0</v>
      </c>
      <c r="R8934" s="2" t="inlineStr"/>
    </row>
    <row r="8935" ht="15" customHeight="1">
      <c r="A8935" t="inlineStr">
        <is>
          <t>A 50973-2025</t>
        </is>
      </c>
      <c r="B8935" s="1" t="n">
        <v>45947.31263888889</v>
      </c>
      <c r="C8935" s="1" t="n">
        <v>46011</v>
      </c>
      <c r="D8935" t="inlineStr">
        <is>
          <t>VÄSTRA GÖTALANDS LÄN</t>
        </is>
      </c>
      <c r="E8935" t="inlineStr">
        <is>
          <t>ALE</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16216-2025</t>
        </is>
      </c>
      <c r="B8936" s="1" t="n">
        <v>45750.63079861111</v>
      </c>
      <c r="C8936" s="1" t="n">
        <v>46011</v>
      </c>
      <c r="D8936" t="inlineStr">
        <is>
          <t>VÄSTRA GÖTALANDS LÄN</t>
        </is>
      </c>
      <c r="E8936" t="inlineStr">
        <is>
          <t>STRÖMSTAD</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50959-2025</t>
        </is>
      </c>
      <c r="B8937" s="1" t="n">
        <v>45946.83520833333</v>
      </c>
      <c r="C8937" s="1" t="n">
        <v>46011</v>
      </c>
      <c r="D8937" t="inlineStr">
        <is>
          <t>VÄSTRA GÖTALANDS LÄN</t>
        </is>
      </c>
      <c r="E8937" t="inlineStr">
        <is>
          <t>FALKÖPING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59452-2025</t>
        </is>
      </c>
      <c r="B8938" s="1" t="n">
        <v>45989.57377314815</v>
      </c>
      <c r="C8938" s="1" t="n">
        <v>46011</v>
      </c>
      <c r="D8938" t="inlineStr">
        <is>
          <t>VÄSTRA GÖTALANDS LÄN</t>
        </is>
      </c>
      <c r="E8938" t="inlineStr">
        <is>
          <t>TRANEMO</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43438-2021</t>
        </is>
      </c>
      <c r="B8939" s="1" t="n">
        <v>44432.6599537037</v>
      </c>
      <c r="C8939" s="1" t="n">
        <v>46011</v>
      </c>
      <c r="D8939" t="inlineStr">
        <is>
          <t>VÄSTRA GÖTALANDS LÄN</t>
        </is>
      </c>
      <c r="E8939" t="inlineStr">
        <is>
          <t>MUNKEDAL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59160-2022</t>
        </is>
      </c>
      <c r="B8940" s="1" t="n">
        <v>44897</v>
      </c>
      <c r="C8940" s="1" t="n">
        <v>46011</v>
      </c>
      <c r="D8940" t="inlineStr">
        <is>
          <t>VÄSTRA GÖTALANDS LÄN</t>
        </is>
      </c>
      <c r="E8940" t="inlineStr">
        <is>
          <t>MUNKEDAL</t>
        </is>
      </c>
      <c r="F8940" t="inlineStr">
        <is>
          <t>Kyrkan</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7522-2024</t>
        </is>
      </c>
      <c r="B8941" s="1" t="n">
        <v>45348</v>
      </c>
      <c r="C8941" s="1" t="n">
        <v>46011</v>
      </c>
      <c r="D8941" t="inlineStr">
        <is>
          <t>VÄSTRA GÖTALANDS LÄN</t>
        </is>
      </c>
      <c r="E8941" t="inlineStr">
        <is>
          <t>DALS-ED</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37283-2022</t>
        </is>
      </c>
      <c r="B8942" s="1" t="n">
        <v>44807.62668981482</v>
      </c>
      <c r="C8942" s="1" t="n">
        <v>46011</v>
      </c>
      <c r="D8942" t="inlineStr">
        <is>
          <t>VÄSTRA GÖTALANDS LÄN</t>
        </is>
      </c>
      <c r="E8942" t="inlineStr">
        <is>
          <t>TANUM</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51432-2025</t>
        </is>
      </c>
      <c r="B8943" s="1" t="n">
        <v>45949</v>
      </c>
      <c r="C8943" s="1" t="n">
        <v>46011</v>
      </c>
      <c r="D8943" t="inlineStr">
        <is>
          <t>VÄSTRA GÖTALANDS LÄN</t>
        </is>
      </c>
      <c r="E8943" t="inlineStr">
        <is>
          <t>STRÖMSTAD</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43547-2021</t>
        </is>
      </c>
      <c r="B8944" s="1" t="n">
        <v>44432</v>
      </c>
      <c r="C8944" s="1" t="n">
        <v>46011</v>
      </c>
      <c r="D8944" t="inlineStr">
        <is>
          <t>VÄSTRA GÖTALANDS LÄN</t>
        </is>
      </c>
      <c r="E8944" t="inlineStr">
        <is>
          <t>MUNKEDAL</t>
        </is>
      </c>
      <c r="F8944" t="inlineStr">
        <is>
          <t>Övriga Aktiebolag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28329-2021</t>
        </is>
      </c>
      <c r="B8945" s="1" t="n">
        <v>44356</v>
      </c>
      <c r="C8945" s="1" t="n">
        <v>46011</v>
      </c>
      <c r="D8945" t="inlineStr">
        <is>
          <t>VÄSTRA GÖTALANDS LÄN</t>
        </is>
      </c>
      <c r="E8945" t="inlineStr">
        <is>
          <t>BENGTSFORS</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59493-2025</t>
        </is>
      </c>
      <c r="B8946" s="1" t="n">
        <v>45989.60912037037</v>
      </c>
      <c r="C8946" s="1" t="n">
        <v>46011</v>
      </c>
      <c r="D8946" t="inlineStr">
        <is>
          <t>VÄSTRA GÖTALANDS LÄN</t>
        </is>
      </c>
      <c r="E8946" t="inlineStr">
        <is>
          <t>BOLLEBYGD</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39774-2021</t>
        </is>
      </c>
      <c r="B8947" s="1" t="n">
        <v>44417.55487268518</v>
      </c>
      <c r="C8947" s="1" t="n">
        <v>46011</v>
      </c>
      <c r="D8947" t="inlineStr">
        <is>
          <t>VÄSTRA GÖTALANDS LÄN</t>
        </is>
      </c>
      <c r="E8947" t="inlineStr">
        <is>
          <t>ULRICEHAMN</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1526-2023</t>
        </is>
      </c>
      <c r="B8948" s="1" t="n">
        <v>44935</v>
      </c>
      <c r="C8948" s="1" t="n">
        <v>46011</v>
      </c>
      <c r="D8948" t="inlineStr">
        <is>
          <t>VÄSTRA GÖTALANDS LÄN</t>
        </is>
      </c>
      <c r="E8948" t="inlineStr">
        <is>
          <t>MUNKEDAL</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51476-2025</t>
        </is>
      </c>
      <c r="B8949" s="1" t="n">
        <v>45950.61899305556</v>
      </c>
      <c r="C8949" s="1" t="n">
        <v>46011</v>
      </c>
      <c r="D8949" t="inlineStr">
        <is>
          <t>VÄSTRA GÖTALANDS LÄN</t>
        </is>
      </c>
      <c r="E8949" t="inlineStr">
        <is>
          <t>FÄRGELANDA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51374-2025</t>
        </is>
      </c>
      <c r="B8950" s="1" t="n">
        <v>45950.45165509259</v>
      </c>
      <c r="C8950" s="1" t="n">
        <v>46011</v>
      </c>
      <c r="D8950" t="inlineStr">
        <is>
          <t>VÄSTRA GÖTALANDS LÄN</t>
        </is>
      </c>
      <c r="E8950" t="inlineStr">
        <is>
          <t>TRANEMO</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51386-2025</t>
        </is>
      </c>
      <c r="B8951" s="1" t="n">
        <v>45950.4659837963</v>
      </c>
      <c r="C8951" s="1" t="n">
        <v>46011</v>
      </c>
      <c r="D8951" t="inlineStr">
        <is>
          <t>VÄSTRA GÖTALANDS LÄN</t>
        </is>
      </c>
      <c r="E8951" t="inlineStr">
        <is>
          <t>ULRICEHAMN</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17527-2025</t>
        </is>
      </c>
      <c r="B8952" s="1" t="n">
        <v>45757.58712962963</v>
      </c>
      <c r="C8952" s="1" t="n">
        <v>46011</v>
      </c>
      <c r="D8952" t="inlineStr">
        <is>
          <t>VÄSTRA GÖTALANDS LÄN</t>
        </is>
      </c>
      <c r="E8952" t="inlineStr">
        <is>
          <t>VÅRGÅRDA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2452-2022</t>
        </is>
      </c>
      <c r="B8953" s="1" t="n">
        <v>44579</v>
      </c>
      <c r="C8953" s="1" t="n">
        <v>46011</v>
      </c>
      <c r="D8953" t="inlineStr">
        <is>
          <t>VÄSTRA GÖTALANDS LÄN</t>
        </is>
      </c>
      <c r="E8953" t="inlineStr">
        <is>
          <t>VARA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2658-2022</t>
        </is>
      </c>
      <c r="B8954" s="1" t="n">
        <v>44580</v>
      </c>
      <c r="C8954" s="1" t="n">
        <v>46011</v>
      </c>
      <c r="D8954" t="inlineStr">
        <is>
          <t>VÄSTRA GÖTALANDS LÄN</t>
        </is>
      </c>
      <c r="E8954" t="inlineStr">
        <is>
          <t>TIDAHOLM</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21149-2024</t>
        </is>
      </c>
      <c r="B8955" s="1" t="n">
        <v>45440.4031712963</v>
      </c>
      <c r="C8955" s="1" t="n">
        <v>46011</v>
      </c>
      <c r="D8955" t="inlineStr">
        <is>
          <t>VÄSTRA GÖTALANDS LÄN</t>
        </is>
      </c>
      <c r="E8955" t="inlineStr">
        <is>
          <t>BENGTSFORS</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59796-2025</t>
        </is>
      </c>
      <c r="B8956" s="1" t="n">
        <v>45992.61871527778</v>
      </c>
      <c r="C8956" s="1" t="n">
        <v>46011</v>
      </c>
      <c r="D8956" t="inlineStr">
        <is>
          <t>VÄSTRA GÖTALANDS LÄN</t>
        </is>
      </c>
      <c r="E8956" t="inlineStr">
        <is>
          <t>BENGTSFORS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59801-2025</t>
        </is>
      </c>
      <c r="B8957" s="1" t="n">
        <v>45992.6203125</v>
      </c>
      <c r="C8957" s="1" t="n">
        <v>46011</v>
      </c>
      <c r="D8957" t="inlineStr">
        <is>
          <t>VÄSTRA GÖTALANDS LÄN</t>
        </is>
      </c>
      <c r="E8957" t="inlineStr">
        <is>
          <t>UDDEVALLA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59804-2025</t>
        </is>
      </c>
      <c r="B8958" s="1" t="n">
        <v>45992.62403935185</v>
      </c>
      <c r="C8958" s="1" t="n">
        <v>46011</v>
      </c>
      <c r="D8958" t="inlineStr">
        <is>
          <t>VÄSTRA GÖTALANDS LÄN</t>
        </is>
      </c>
      <c r="E8958" t="inlineStr">
        <is>
          <t>MELLERUD</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59316-2025</t>
        </is>
      </c>
      <c r="B8959" s="1" t="n">
        <v>45989.31944444445</v>
      </c>
      <c r="C8959" s="1" t="n">
        <v>46011</v>
      </c>
      <c r="D8959" t="inlineStr">
        <is>
          <t>VÄSTRA GÖTALANDS LÄN</t>
        </is>
      </c>
      <c r="E8959" t="inlineStr">
        <is>
          <t>MARIESTAD</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59318-2025</t>
        </is>
      </c>
      <c r="B8960" s="1" t="n">
        <v>45989.3315162037</v>
      </c>
      <c r="C8960" s="1" t="n">
        <v>46011</v>
      </c>
      <c r="D8960" t="inlineStr">
        <is>
          <t>VÄSTRA GÖTALANDS LÄN</t>
        </is>
      </c>
      <c r="E8960" t="inlineStr">
        <is>
          <t>FÄRGELANDA</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34152-2021</t>
        </is>
      </c>
      <c r="B8961" s="1" t="n">
        <v>44379</v>
      </c>
      <c r="C8961" s="1" t="n">
        <v>46011</v>
      </c>
      <c r="D8961" t="inlineStr">
        <is>
          <t>VÄSTRA GÖTALANDS LÄN</t>
        </is>
      </c>
      <c r="E8961" t="inlineStr">
        <is>
          <t>MARK</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18337-2023</t>
        </is>
      </c>
      <c r="B8962" s="1" t="n">
        <v>45041</v>
      </c>
      <c r="C8962" s="1" t="n">
        <v>46011</v>
      </c>
      <c r="D8962" t="inlineStr">
        <is>
          <t>VÄSTRA GÖTALANDS LÄN</t>
        </is>
      </c>
      <c r="E8962" t="inlineStr">
        <is>
          <t>BOLLEBYGD</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51308-2025</t>
        </is>
      </c>
      <c r="B8963" s="1" t="n">
        <v>45950.36725694445</v>
      </c>
      <c r="C8963" s="1" t="n">
        <v>46011</v>
      </c>
      <c r="D8963" t="inlineStr">
        <is>
          <t>VÄSTRA GÖTALANDS LÄN</t>
        </is>
      </c>
      <c r="E8963" t="inlineStr">
        <is>
          <t>HERRLJUNGA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2917-2023</t>
        </is>
      </c>
      <c r="B8964" s="1" t="n">
        <v>44943</v>
      </c>
      <c r="C8964" s="1" t="n">
        <v>46011</v>
      </c>
      <c r="D8964" t="inlineStr">
        <is>
          <t>VÄSTRA GÖTALANDS LÄN</t>
        </is>
      </c>
      <c r="E8964" t="inlineStr">
        <is>
          <t>VÅRGÅRDA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51380-2025</t>
        </is>
      </c>
      <c r="B8965" s="1" t="n">
        <v>45950.4577662037</v>
      </c>
      <c r="C8965" s="1" t="n">
        <v>46011</v>
      </c>
      <c r="D8965" t="inlineStr">
        <is>
          <t>VÄSTRA GÖTALANDS LÄN</t>
        </is>
      </c>
      <c r="E8965" t="inlineStr">
        <is>
          <t>ESSUNGA</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51418-2025</t>
        </is>
      </c>
      <c r="B8966" s="1" t="n">
        <v>45950.51443287037</v>
      </c>
      <c r="C8966" s="1" t="n">
        <v>46011</v>
      </c>
      <c r="D8966" t="inlineStr">
        <is>
          <t>VÄSTRA GÖTALANDS LÄN</t>
        </is>
      </c>
      <c r="E8966" t="inlineStr">
        <is>
          <t>TRANEMO</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51434-2025</t>
        </is>
      </c>
      <c r="B8967" s="1" t="n">
        <v>45949</v>
      </c>
      <c r="C8967" s="1" t="n">
        <v>46011</v>
      </c>
      <c r="D8967" t="inlineStr">
        <is>
          <t>VÄSTRA GÖTALANDS LÄN</t>
        </is>
      </c>
      <c r="E8967" t="inlineStr">
        <is>
          <t>SOTENÄS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51450-2025</t>
        </is>
      </c>
      <c r="B8968" s="1" t="n">
        <v>45950</v>
      </c>
      <c r="C8968" s="1" t="n">
        <v>46011</v>
      </c>
      <c r="D8968" t="inlineStr">
        <is>
          <t>VÄSTRA GÖTALANDS LÄN</t>
        </is>
      </c>
      <c r="E8968" t="inlineStr">
        <is>
          <t>STENUNGSUND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6617-2023</t>
        </is>
      </c>
      <c r="B8969" s="1" t="n">
        <v>44966</v>
      </c>
      <c r="C8969" s="1" t="n">
        <v>46011</v>
      </c>
      <c r="D8969" t="inlineStr">
        <is>
          <t>VÄSTRA GÖTALANDS LÄN</t>
        </is>
      </c>
      <c r="E8969" t="inlineStr">
        <is>
          <t>BENGTSFORS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51065-2025</t>
        </is>
      </c>
      <c r="B8970" s="1" t="n">
        <v>45947.45203703704</v>
      </c>
      <c r="C8970" s="1" t="n">
        <v>46011</v>
      </c>
      <c r="D8970" t="inlineStr">
        <is>
          <t>VÄSTRA GÖTALANDS LÄN</t>
        </is>
      </c>
      <c r="E8970" t="inlineStr">
        <is>
          <t>GULLSPÅNG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51092-2025</t>
        </is>
      </c>
      <c r="B8971" s="1" t="n">
        <v>45947.47458333334</v>
      </c>
      <c r="C8971" s="1" t="n">
        <v>46011</v>
      </c>
      <c r="D8971" t="inlineStr">
        <is>
          <t>VÄSTRA GÖTALANDS LÄN</t>
        </is>
      </c>
      <c r="E8971" t="inlineStr">
        <is>
          <t>BORÅS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69106-2020</t>
        </is>
      </c>
      <c r="B8972" s="1" t="n">
        <v>44187</v>
      </c>
      <c r="C8972" s="1" t="n">
        <v>46011</v>
      </c>
      <c r="D8972" t="inlineStr">
        <is>
          <t>VÄSTRA GÖTALANDS LÄN</t>
        </is>
      </c>
      <c r="E8972" t="inlineStr">
        <is>
          <t>SKÖVDE</t>
        </is>
      </c>
      <c r="F8972" t="inlineStr">
        <is>
          <t>Kommuner</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7680-2025</t>
        </is>
      </c>
      <c r="B8973" s="1" t="n">
        <v>45706.36583333334</v>
      </c>
      <c r="C8973" s="1" t="n">
        <v>46011</v>
      </c>
      <c r="D8973" t="inlineStr">
        <is>
          <t>VÄSTRA GÖTALANDS LÄN</t>
        </is>
      </c>
      <c r="E8973" t="inlineStr">
        <is>
          <t>VÅRGÅRDA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51095-2025</t>
        </is>
      </c>
      <c r="B8974" s="1" t="n">
        <v>45947</v>
      </c>
      <c r="C8974" s="1" t="n">
        <v>46011</v>
      </c>
      <c r="D8974" t="inlineStr">
        <is>
          <t>VÄSTRA GÖTALANDS LÄN</t>
        </is>
      </c>
      <c r="E8974" t="inlineStr">
        <is>
          <t>ULRICEHAMN</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7704-2025</t>
        </is>
      </c>
      <c r="B8975" s="1" t="n">
        <v>45706.4105324074</v>
      </c>
      <c r="C8975" s="1" t="n">
        <v>46011</v>
      </c>
      <c r="D8975" t="inlineStr">
        <is>
          <t>VÄSTRA GÖTALANDS LÄN</t>
        </is>
      </c>
      <c r="E8975" t="inlineStr">
        <is>
          <t>ULRICEHAMN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57538-2025</t>
        </is>
      </c>
      <c r="B8976" s="1" t="n">
        <v>45980.64556712963</v>
      </c>
      <c r="C8976" s="1" t="n">
        <v>46011</v>
      </c>
      <c r="D8976" t="inlineStr">
        <is>
          <t>VÄSTRA GÖTALANDS LÄN</t>
        </is>
      </c>
      <c r="E8976" t="inlineStr">
        <is>
          <t>BENGTSFORS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58769-2025</t>
        </is>
      </c>
      <c r="B8977" s="1" t="n">
        <v>45985</v>
      </c>
      <c r="C8977" s="1" t="n">
        <v>46011</v>
      </c>
      <c r="D8977" t="inlineStr">
        <is>
          <t>VÄSTRA GÖTALANDS LÄN</t>
        </is>
      </c>
      <c r="E8977" t="inlineStr">
        <is>
          <t>BORÅS</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28778-2021</t>
        </is>
      </c>
      <c r="B8978" s="1" t="n">
        <v>44357.5655787037</v>
      </c>
      <c r="C8978" s="1" t="n">
        <v>46011</v>
      </c>
      <c r="D8978" t="inlineStr">
        <is>
          <t>VÄSTRA GÖTALANDS LÄN</t>
        </is>
      </c>
      <c r="E8978" t="inlineStr">
        <is>
          <t>BENGTSFORS</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20018-2025</t>
        </is>
      </c>
      <c r="B8979" s="1" t="n">
        <v>45772.32306712963</v>
      </c>
      <c r="C8979" s="1" t="n">
        <v>46011</v>
      </c>
      <c r="D8979" t="inlineStr">
        <is>
          <t>VÄSTRA GÖTALANDS LÄN</t>
        </is>
      </c>
      <c r="E8979" t="inlineStr">
        <is>
          <t>SVENLJUNGA</t>
        </is>
      </c>
      <c r="G8979" t="n">
        <v>9.699999999999999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59697-2025</t>
        </is>
      </c>
      <c r="B8980" s="1" t="n">
        <v>45992.49255787037</v>
      </c>
      <c r="C8980" s="1" t="n">
        <v>46011</v>
      </c>
      <c r="D8980" t="inlineStr">
        <is>
          <t>VÄSTRA GÖTALANDS LÄN</t>
        </is>
      </c>
      <c r="E8980" t="inlineStr">
        <is>
          <t>KARLSBORG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2752-2025</t>
        </is>
      </c>
      <c r="B8981" s="1" t="n">
        <v>45677.46724537037</v>
      </c>
      <c r="C8981" s="1" t="n">
        <v>46011</v>
      </c>
      <c r="D8981" t="inlineStr">
        <is>
          <t>VÄSTRA GÖTALANDS LÄN</t>
        </is>
      </c>
      <c r="E8981" t="inlineStr">
        <is>
          <t>TANUM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58148-2025</t>
        </is>
      </c>
      <c r="B8982" s="1" t="n">
        <v>45981</v>
      </c>
      <c r="C8982" s="1" t="n">
        <v>46011</v>
      </c>
      <c r="D8982" t="inlineStr">
        <is>
          <t>VÄSTRA GÖTALANDS LÄN</t>
        </is>
      </c>
      <c r="E8982" t="inlineStr">
        <is>
          <t>ESSUNGA</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59664-2025</t>
        </is>
      </c>
      <c r="B8983" s="1" t="n">
        <v>45992.4522337963</v>
      </c>
      <c r="C8983" s="1" t="n">
        <v>46011</v>
      </c>
      <c r="D8983" t="inlineStr">
        <is>
          <t>VÄSTRA GÖTALANDS LÄN</t>
        </is>
      </c>
      <c r="E8983" t="inlineStr">
        <is>
          <t>BENGTSFORS</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2796-2025</t>
        </is>
      </c>
      <c r="B8984" s="1" t="n">
        <v>45677.57553240741</v>
      </c>
      <c r="C8984" s="1" t="n">
        <v>46011</v>
      </c>
      <c r="D8984" t="inlineStr">
        <is>
          <t>VÄSTRA GÖTALANDS LÄN</t>
        </is>
      </c>
      <c r="E8984" t="inlineStr">
        <is>
          <t>HERRLJUNGA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17563-2025</t>
        </is>
      </c>
      <c r="B8985" s="1" t="n">
        <v>45757.63945601852</v>
      </c>
      <c r="C8985" s="1" t="n">
        <v>46011</v>
      </c>
      <c r="D8985" t="inlineStr">
        <is>
          <t>VÄSTRA GÖTALANDS LÄN</t>
        </is>
      </c>
      <c r="E8985" t="inlineStr">
        <is>
          <t>ULRICEHAMN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59309-2025</t>
        </is>
      </c>
      <c r="B8986" s="1" t="n">
        <v>45989.27822916667</v>
      </c>
      <c r="C8986" s="1" t="n">
        <v>46011</v>
      </c>
      <c r="D8986" t="inlineStr">
        <is>
          <t>VÄSTRA GÖTALANDS LÄN</t>
        </is>
      </c>
      <c r="E8986" t="inlineStr">
        <is>
          <t>VÅRGÅRDA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59317-2025</t>
        </is>
      </c>
      <c r="B8987" s="1" t="n">
        <v>45989.32200231482</v>
      </c>
      <c r="C8987" s="1" t="n">
        <v>46011</v>
      </c>
      <c r="D8987" t="inlineStr">
        <is>
          <t>VÄSTRA GÖTALANDS LÄN</t>
        </is>
      </c>
      <c r="E8987" t="inlineStr">
        <is>
          <t>VÅRGÅRDA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49780-2023</t>
        </is>
      </c>
      <c r="B8988" s="1" t="n">
        <v>45212</v>
      </c>
      <c r="C8988" s="1" t="n">
        <v>46011</v>
      </c>
      <c r="D8988" t="inlineStr">
        <is>
          <t>VÄSTRA GÖTALANDS LÄN</t>
        </is>
      </c>
      <c r="E8988" t="inlineStr">
        <is>
          <t>UDDEVALLA</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51271-2025</t>
        </is>
      </c>
      <c r="B8989" s="1" t="n">
        <v>45949.84736111111</v>
      </c>
      <c r="C8989" s="1" t="n">
        <v>46011</v>
      </c>
      <c r="D8989" t="inlineStr">
        <is>
          <t>VÄSTRA GÖTALANDS LÄN</t>
        </is>
      </c>
      <c r="E8989" t="inlineStr">
        <is>
          <t>FÄRGELANDA</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26833-2023</t>
        </is>
      </c>
      <c r="B8990" s="1" t="n">
        <v>45093</v>
      </c>
      <c r="C8990" s="1" t="n">
        <v>46011</v>
      </c>
      <c r="D8990" t="inlineStr">
        <is>
          <t>VÄSTRA GÖTALANDS LÄN</t>
        </is>
      </c>
      <c r="E8990" t="inlineStr">
        <is>
          <t>BORÅS</t>
        </is>
      </c>
      <c r="F8990" t="inlineStr">
        <is>
          <t>Sveaskog</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26895-2023</t>
        </is>
      </c>
      <c r="B8991" s="1" t="n">
        <v>45093</v>
      </c>
      <c r="C8991" s="1" t="n">
        <v>46011</v>
      </c>
      <c r="D8991" t="inlineStr">
        <is>
          <t>VÄSTRA GÖTALANDS LÄN</t>
        </is>
      </c>
      <c r="E8991" t="inlineStr">
        <is>
          <t>TRANEMO</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59808-2025</t>
        </is>
      </c>
      <c r="B8992" s="1" t="n">
        <v>45992.62931712963</v>
      </c>
      <c r="C8992" s="1" t="n">
        <v>46011</v>
      </c>
      <c r="D8992" t="inlineStr">
        <is>
          <t>VÄSTRA GÖTALANDS LÄN</t>
        </is>
      </c>
      <c r="E8992" t="inlineStr">
        <is>
          <t>MELLERUD</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59831-2025</t>
        </is>
      </c>
      <c r="B8993" s="1" t="n">
        <v>45992.65892361111</v>
      </c>
      <c r="C8993" s="1" t="n">
        <v>46011</v>
      </c>
      <c r="D8993" t="inlineStr">
        <is>
          <t>VÄSTRA GÖTALANDS LÄN</t>
        </is>
      </c>
      <c r="E8993" t="inlineStr">
        <is>
          <t>BORÅS</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49582-2023</t>
        </is>
      </c>
      <c r="B8994" s="1" t="n">
        <v>45211.67170138889</v>
      </c>
      <c r="C8994" s="1" t="n">
        <v>46011</v>
      </c>
      <c r="D8994" t="inlineStr">
        <is>
          <t>VÄSTRA GÖTALANDS LÄN</t>
        </is>
      </c>
      <c r="E8994" t="inlineStr">
        <is>
          <t>MARIESTAD</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7628-2022</t>
        </is>
      </c>
      <c r="B8995" s="1" t="n">
        <v>44607</v>
      </c>
      <c r="C8995" s="1" t="n">
        <v>46011</v>
      </c>
      <c r="D8995" t="inlineStr">
        <is>
          <t>VÄSTRA GÖTALANDS LÄN</t>
        </is>
      </c>
      <c r="E8995" t="inlineStr">
        <is>
          <t>TROLLHÄTTAN</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59525-2025</t>
        </is>
      </c>
      <c r="B8996" s="1" t="n">
        <v>45989.66394675926</v>
      </c>
      <c r="C8996" s="1" t="n">
        <v>46011</v>
      </c>
      <c r="D8996" t="inlineStr">
        <is>
          <t>VÄSTRA GÖTALANDS LÄN</t>
        </is>
      </c>
      <c r="E8996" t="inlineStr">
        <is>
          <t>HERRLJUNGA</t>
        </is>
      </c>
      <c r="F8996" t="inlineStr">
        <is>
          <t>Kyrkan</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13658-2025</t>
        </is>
      </c>
      <c r="B8997" s="1" t="n">
        <v>45736</v>
      </c>
      <c r="C8997" s="1" t="n">
        <v>46011</v>
      </c>
      <c r="D8997" t="inlineStr">
        <is>
          <t>VÄSTRA GÖTALANDS LÄN</t>
        </is>
      </c>
      <c r="E8997" t="inlineStr">
        <is>
          <t>MUNKEDAL</t>
        </is>
      </c>
      <c r="F8997" t="inlineStr">
        <is>
          <t>Övriga Aktiebolag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14802-2023</t>
        </is>
      </c>
      <c r="B8998" s="1" t="n">
        <v>45014</v>
      </c>
      <c r="C8998" s="1" t="n">
        <v>46011</v>
      </c>
      <c r="D8998" t="inlineStr">
        <is>
          <t>VÄSTRA GÖTALANDS LÄN</t>
        </is>
      </c>
      <c r="E8998" t="inlineStr">
        <is>
          <t>ORUST</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51294-2025</t>
        </is>
      </c>
      <c r="B8999" s="1" t="n">
        <v>45950.35351851852</v>
      </c>
      <c r="C8999" s="1" t="n">
        <v>46011</v>
      </c>
      <c r="D8999" t="inlineStr">
        <is>
          <t>VÄSTRA GÖTALANDS LÄN</t>
        </is>
      </c>
      <c r="E8999" t="inlineStr">
        <is>
          <t>SVENLJUNGA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51167-2025</t>
        </is>
      </c>
      <c r="B9000" s="1" t="n">
        <v>45947.59884259259</v>
      </c>
      <c r="C9000" s="1" t="n">
        <v>46011</v>
      </c>
      <c r="D9000" t="inlineStr">
        <is>
          <t>VÄSTRA GÖTALANDS LÄN</t>
        </is>
      </c>
      <c r="E9000" t="inlineStr">
        <is>
          <t>VÅRGÅRDA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51196-2025</t>
        </is>
      </c>
      <c r="B9001" s="1" t="n">
        <v>45947.63052083334</v>
      </c>
      <c r="C9001" s="1" t="n">
        <v>46011</v>
      </c>
      <c r="D9001" t="inlineStr">
        <is>
          <t>VÄSTRA GÖTALANDS LÄN</t>
        </is>
      </c>
      <c r="E9001" t="inlineStr">
        <is>
          <t>BORÅS</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51199-2025</t>
        </is>
      </c>
      <c r="B9002" s="1" t="n">
        <v>45947.63421296296</v>
      </c>
      <c r="C9002" s="1" t="n">
        <v>46011</v>
      </c>
      <c r="D9002" t="inlineStr">
        <is>
          <t>VÄSTRA GÖTALANDS LÄN</t>
        </is>
      </c>
      <c r="E9002" t="inlineStr">
        <is>
          <t>BORÅS</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49278-2023</t>
        </is>
      </c>
      <c r="B9003" s="1" t="n">
        <v>45210.69572916667</v>
      </c>
      <c r="C9003" s="1" t="n">
        <v>46011</v>
      </c>
      <c r="D9003" t="inlineStr">
        <is>
          <t>VÄSTRA GÖTALANDS LÄN</t>
        </is>
      </c>
      <c r="E9003" t="inlineStr">
        <is>
          <t>FALKÖPING</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30085-2023</t>
        </is>
      </c>
      <c r="B9004" s="1" t="n">
        <v>45110.43747685185</v>
      </c>
      <c r="C9004" s="1" t="n">
        <v>46011</v>
      </c>
      <c r="D9004" t="inlineStr">
        <is>
          <t>VÄSTRA GÖTALANDS LÄN</t>
        </is>
      </c>
      <c r="E9004" t="inlineStr">
        <is>
          <t>SKARA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14007-2025</t>
        </is>
      </c>
      <c r="B9005" s="1" t="n">
        <v>45740.30517361111</v>
      </c>
      <c r="C9005" s="1" t="n">
        <v>46011</v>
      </c>
      <c r="D9005" t="inlineStr">
        <is>
          <t>VÄSTRA GÖTALANDS LÄN</t>
        </is>
      </c>
      <c r="E9005" t="inlineStr">
        <is>
          <t>TRANEMO</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14012-2025</t>
        </is>
      </c>
      <c r="B9006" s="1" t="n">
        <v>45740.31439814815</v>
      </c>
      <c r="C9006" s="1" t="n">
        <v>46011</v>
      </c>
      <c r="D9006" t="inlineStr">
        <is>
          <t>VÄSTRA GÖTALANDS LÄN</t>
        </is>
      </c>
      <c r="E9006" t="inlineStr">
        <is>
          <t>SVENLJUNGA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51084-2025</t>
        </is>
      </c>
      <c r="B9007" s="1" t="n">
        <v>45947</v>
      </c>
      <c r="C9007" s="1" t="n">
        <v>46011</v>
      </c>
      <c r="D9007" t="inlineStr">
        <is>
          <t>VÄSTRA GÖTALANDS LÄN</t>
        </is>
      </c>
      <c r="E9007" t="inlineStr">
        <is>
          <t>ULRICEHAMN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51206-2025</t>
        </is>
      </c>
      <c r="B9008" s="1" t="n">
        <v>45947.6365625</v>
      </c>
      <c r="C9008" s="1" t="n">
        <v>46011</v>
      </c>
      <c r="D9008" t="inlineStr">
        <is>
          <t>VÄSTRA GÖTALANDS LÄN</t>
        </is>
      </c>
      <c r="E9008" t="inlineStr">
        <is>
          <t>VARA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11812-2025</t>
        </is>
      </c>
      <c r="B9009" s="1" t="n">
        <v>45728.24693287037</v>
      </c>
      <c r="C9009" s="1" t="n">
        <v>46011</v>
      </c>
      <c r="D9009" t="inlineStr">
        <is>
          <t>VÄSTRA GÖTALANDS LÄN</t>
        </is>
      </c>
      <c r="E9009" t="inlineStr">
        <is>
          <t>MUNKEDAL</t>
        </is>
      </c>
      <c r="F9009" t="inlineStr">
        <is>
          <t>Kommuner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51421-2025</t>
        </is>
      </c>
      <c r="B9010" s="1" t="n">
        <v>45950.51739583333</v>
      </c>
      <c r="C9010" s="1" t="n">
        <v>46011</v>
      </c>
      <c r="D9010" t="inlineStr">
        <is>
          <t>VÄSTRA GÖTALANDS LÄN</t>
        </is>
      </c>
      <c r="E9010" t="inlineStr">
        <is>
          <t>TRANEMO</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51422-2025</t>
        </is>
      </c>
      <c r="B9011" s="1" t="n">
        <v>45950.52065972222</v>
      </c>
      <c r="C9011" s="1" t="n">
        <v>46011</v>
      </c>
      <c r="D9011" t="inlineStr">
        <is>
          <t>VÄSTRA GÖTALANDS LÄN</t>
        </is>
      </c>
      <c r="E9011" t="inlineStr">
        <is>
          <t>TRANEMO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63169-2023</t>
        </is>
      </c>
      <c r="B9012" s="1" t="n">
        <v>45273.56533564815</v>
      </c>
      <c r="C9012" s="1" t="n">
        <v>46011</v>
      </c>
      <c r="D9012" t="inlineStr">
        <is>
          <t>VÄSTRA GÖTALANDS LÄN</t>
        </is>
      </c>
      <c r="E9012" t="inlineStr">
        <is>
          <t>BORÅS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51155-2025</t>
        </is>
      </c>
      <c r="B9013" s="1" t="n">
        <v>45947</v>
      </c>
      <c r="C9013" s="1" t="n">
        <v>46011</v>
      </c>
      <c r="D9013" t="inlineStr">
        <is>
          <t>VÄSTRA GÖTALANDS LÄN</t>
        </is>
      </c>
      <c r="E9013" t="inlineStr">
        <is>
          <t>SKÖVDE</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2979-2025</t>
        </is>
      </c>
      <c r="B9014" s="1" t="n">
        <v>45678.48315972222</v>
      </c>
      <c r="C9014" s="1" t="n">
        <v>46011</v>
      </c>
      <c r="D9014" t="inlineStr">
        <is>
          <t>VÄSTRA GÖTALANDS LÄN</t>
        </is>
      </c>
      <c r="E9014" t="inlineStr">
        <is>
          <t>SVENLJUNGA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2982-2025</t>
        </is>
      </c>
      <c r="B9015" s="1" t="n">
        <v>45678.51011574074</v>
      </c>
      <c r="C9015" s="1" t="n">
        <v>46011</v>
      </c>
      <c r="D9015" t="inlineStr">
        <is>
          <t>VÄSTRA GÖTALANDS LÄN</t>
        </is>
      </c>
      <c r="E9015" t="inlineStr">
        <is>
          <t>STRÖMSTAD</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59384-2025</t>
        </is>
      </c>
      <c r="B9016" s="1" t="n">
        <v>45989.45657407407</v>
      </c>
      <c r="C9016" s="1" t="n">
        <v>46011</v>
      </c>
      <c r="D9016" t="inlineStr">
        <is>
          <t>VÄSTRA GÖTALANDS LÄN</t>
        </is>
      </c>
      <c r="E9016" t="inlineStr">
        <is>
          <t>SKÖVDE</t>
        </is>
      </c>
      <c r="F9016" t="inlineStr">
        <is>
          <t>Kommuner</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59387-2025</t>
        </is>
      </c>
      <c r="B9017" s="1" t="n">
        <v>45989.46027777778</v>
      </c>
      <c r="C9017" s="1" t="n">
        <v>46011</v>
      </c>
      <c r="D9017" t="inlineStr">
        <is>
          <t>VÄSTRA GÖTALANDS LÄN</t>
        </is>
      </c>
      <c r="E9017" t="inlineStr">
        <is>
          <t>HERRLJUNGA</t>
        </is>
      </c>
      <c r="F9017" t="inlineStr">
        <is>
          <t>Kyrkan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56093-2023</t>
        </is>
      </c>
      <c r="B9018" s="1" t="n">
        <v>45236</v>
      </c>
      <c r="C9018" s="1" t="n">
        <v>46011</v>
      </c>
      <c r="D9018" t="inlineStr">
        <is>
          <t>VÄSTRA GÖTALANDS LÄN</t>
        </is>
      </c>
      <c r="E9018" t="inlineStr">
        <is>
          <t>SVENLJUNGA</t>
        </is>
      </c>
      <c r="G9018" t="n">
        <v>8.1</v>
      </c>
      <c r="H9018" t="n">
        <v>0</v>
      </c>
      <c r="I9018" t="n">
        <v>0</v>
      </c>
      <c r="J9018" t="n">
        <v>0</v>
      </c>
      <c r="K9018" t="n">
        <v>0</v>
      </c>
      <c r="L9018" t="n">
        <v>0</v>
      </c>
      <c r="M9018" t="n">
        <v>0</v>
      </c>
      <c r="N9018" t="n">
        <v>0</v>
      </c>
      <c r="O9018" t="n">
        <v>0</v>
      </c>
      <c r="P9018" t="n">
        <v>0</v>
      </c>
      <c r="Q9018" t="n">
        <v>0</v>
      </c>
      <c r="R9018" s="2" t="inlineStr"/>
    </row>
    <row r="9019" ht="15" customHeight="1">
      <c r="A9019" t="inlineStr">
        <is>
          <t>A 56098-2023</t>
        </is>
      </c>
      <c r="B9019" s="1" t="n">
        <v>45236</v>
      </c>
      <c r="C9019" s="1" t="n">
        <v>46011</v>
      </c>
      <c r="D9019" t="inlineStr">
        <is>
          <t>VÄSTRA GÖTALANDS LÄN</t>
        </is>
      </c>
      <c r="E9019" t="inlineStr">
        <is>
          <t>SVENLJUNGA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55434-2024</t>
        </is>
      </c>
      <c r="B9020" s="1" t="n">
        <v>45622.39576388889</v>
      </c>
      <c r="C9020" s="1" t="n">
        <v>46011</v>
      </c>
      <c r="D9020" t="inlineStr">
        <is>
          <t>VÄSTRA GÖTALANDS LÄN</t>
        </is>
      </c>
      <c r="E9020" t="inlineStr">
        <is>
          <t>FALKÖPING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59784-2025</t>
        </is>
      </c>
      <c r="B9021" s="1" t="n">
        <v>45992.61172453704</v>
      </c>
      <c r="C9021" s="1" t="n">
        <v>46011</v>
      </c>
      <c r="D9021" t="inlineStr">
        <is>
          <t>VÄSTRA GÖTALANDS LÄN</t>
        </is>
      </c>
      <c r="E9021" t="inlineStr">
        <is>
          <t>BENGTSFORS</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59795-2025</t>
        </is>
      </c>
      <c r="B9022" s="1" t="n">
        <v>45992.61725694445</v>
      </c>
      <c r="C9022" s="1" t="n">
        <v>46011</v>
      </c>
      <c r="D9022" t="inlineStr">
        <is>
          <t>VÄSTRA GÖTALANDS LÄN</t>
        </is>
      </c>
      <c r="E9022" t="inlineStr">
        <is>
          <t>BENGTSFORS</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60384-2024</t>
        </is>
      </c>
      <c r="B9023" s="1" t="n">
        <v>45643.47832175926</v>
      </c>
      <c r="C9023" s="1" t="n">
        <v>46011</v>
      </c>
      <c r="D9023" t="inlineStr">
        <is>
          <t>VÄSTRA GÖTALANDS LÄN</t>
        </is>
      </c>
      <c r="E9023" t="inlineStr">
        <is>
          <t>TÖREBODA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55160-2023</t>
        </is>
      </c>
      <c r="B9024" s="1" t="n">
        <v>45237</v>
      </c>
      <c r="C9024" s="1" t="n">
        <v>46011</v>
      </c>
      <c r="D9024" t="inlineStr">
        <is>
          <t>VÄSTRA GÖTALANDS LÄN</t>
        </is>
      </c>
      <c r="E9024" t="inlineStr">
        <is>
          <t>ULRICEHAMN</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16976-2025</t>
        </is>
      </c>
      <c r="B9025" s="1" t="n">
        <v>45755.47385416667</v>
      </c>
      <c r="C9025" s="1" t="n">
        <v>46011</v>
      </c>
      <c r="D9025" t="inlineStr">
        <is>
          <t>VÄSTRA GÖTALANDS LÄN</t>
        </is>
      </c>
      <c r="E9025" t="inlineStr">
        <is>
          <t>LIDKÖPING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18916-2025</t>
        </is>
      </c>
      <c r="B9026" s="1" t="n">
        <v>45764.47046296296</v>
      </c>
      <c r="C9026" s="1" t="n">
        <v>46011</v>
      </c>
      <c r="D9026" t="inlineStr">
        <is>
          <t>VÄSTRA GÖTALANDS LÄN</t>
        </is>
      </c>
      <c r="E9026" t="inlineStr">
        <is>
          <t>UDDEVALLA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57957-2023</t>
        </is>
      </c>
      <c r="B9027" s="1" t="n">
        <v>45247</v>
      </c>
      <c r="C9027" s="1" t="n">
        <v>46011</v>
      </c>
      <c r="D9027" t="inlineStr">
        <is>
          <t>VÄSTRA GÖTALANDS LÄN</t>
        </is>
      </c>
      <c r="E9027" t="inlineStr">
        <is>
          <t>ÅMÅL</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18225-2025</t>
        </is>
      </c>
      <c r="B9028" s="1" t="n">
        <v>45761.79899305556</v>
      </c>
      <c r="C9028" s="1" t="n">
        <v>46011</v>
      </c>
      <c r="D9028" t="inlineStr">
        <is>
          <t>VÄSTRA GÖTALANDS LÄN</t>
        </is>
      </c>
      <c r="E9028" t="inlineStr">
        <is>
          <t>UDDEVALLA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18226-2025</t>
        </is>
      </c>
      <c r="B9029" s="1" t="n">
        <v>45761.8005324074</v>
      </c>
      <c r="C9029" s="1" t="n">
        <v>46011</v>
      </c>
      <c r="D9029" t="inlineStr">
        <is>
          <t>VÄSTRA GÖTALANDS LÄN</t>
        </is>
      </c>
      <c r="E9029" t="inlineStr">
        <is>
          <t>UDDEVALLA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18243-2025</t>
        </is>
      </c>
      <c r="B9030" s="1" t="n">
        <v>45762.31956018518</v>
      </c>
      <c r="C9030" s="1" t="n">
        <v>46011</v>
      </c>
      <c r="D9030" t="inlineStr">
        <is>
          <t>VÄSTRA GÖTALANDS LÄN</t>
        </is>
      </c>
      <c r="E9030" t="inlineStr">
        <is>
          <t>MARIESTAD</t>
        </is>
      </c>
      <c r="F9030" t="inlineStr">
        <is>
          <t>Sveaskog</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19665-2025</t>
        </is>
      </c>
      <c r="B9031" s="1" t="n">
        <v>45770.69283564815</v>
      </c>
      <c r="C9031" s="1" t="n">
        <v>46011</v>
      </c>
      <c r="D9031" t="inlineStr">
        <is>
          <t>VÄSTRA GÖTALANDS LÄN</t>
        </is>
      </c>
      <c r="E9031" t="inlineStr">
        <is>
          <t>HERRLJUNGA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60323-2025</t>
        </is>
      </c>
      <c r="B9032" s="1" t="n">
        <v>45994.72667824074</v>
      </c>
      <c r="C9032" s="1" t="n">
        <v>46011</v>
      </c>
      <c r="D9032" t="inlineStr">
        <is>
          <t>VÄSTRA GÖTALANDS LÄN</t>
        </is>
      </c>
      <c r="E9032" t="inlineStr">
        <is>
          <t>HÄRRYDA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60325-2025</t>
        </is>
      </c>
      <c r="B9033" s="1" t="n">
        <v>45994.74046296296</v>
      </c>
      <c r="C9033" s="1" t="n">
        <v>46011</v>
      </c>
      <c r="D9033" t="inlineStr">
        <is>
          <t>VÄSTRA GÖTALANDS LÄN</t>
        </is>
      </c>
      <c r="E9033" t="inlineStr">
        <is>
          <t>VÄNERSBORG</t>
        </is>
      </c>
      <c r="G9033" t="n">
        <v>11.5</v>
      </c>
      <c r="H9033" t="n">
        <v>0</v>
      </c>
      <c r="I9033" t="n">
        <v>0</v>
      </c>
      <c r="J9033" t="n">
        <v>0</v>
      </c>
      <c r="K9033" t="n">
        <v>0</v>
      </c>
      <c r="L9033" t="n">
        <v>0</v>
      </c>
      <c r="M9033" t="n">
        <v>0</v>
      </c>
      <c r="N9033" t="n">
        <v>0</v>
      </c>
      <c r="O9033" t="n">
        <v>0</v>
      </c>
      <c r="P9033" t="n">
        <v>0</v>
      </c>
      <c r="Q9033" t="n">
        <v>0</v>
      </c>
      <c r="R9033" s="2" t="inlineStr"/>
    </row>
    <row r="9034" ht="15" customHeight="1">
      <c r="A9034" t="inlineStr">
        <is>
          <t>A 60329-2025</t>
        </is>
      </c>
      <c r="B9034" s="1" t="n">
        <v>45994.7470949074</v>
      </c>
      <c r="C9034" s="1" t="n">
        <v>46011</v>
      </c>
      <c r="D9034" t="inlineStr">
        <is>
          <t>VÄSTRA GÖTALANDS LÄN</t>
        </is>
      </c>
      <c r="E9034" t="inlineStr">
        <is>
          <t>BENGTSFORS</t>
        </is>
      </c>
      <c r="G9034" t="n">
        <v>0</v>
      </c>
      <c r="H9034" t="n">
        <v>0</v>
      </c>
      <c r="I9034" t="n">
        <v>0</v>
      </c>
      <c r="J9034" t="n">
        <v>0</v>
      </c>
      <c r="K9034" t="n">
        <v>0</v>
      </c>
      <c r="L9034" t="n">
        <v>0</v>
      </c>
      <c r="M9034" t="n">
        <v>0</v>
      </c>
      <c r="N9034" t="n">
        <v>0</v>
      </c>
      <c r="O9034" t="n">
        <v>0</v>
      </c>
      <c r="P9034" t="n">
        <v>0</v>
      </c>
      <c r="Q9034" t="n">
        <v>0</v>
      </c>
      <c r="R9034" s="2" t="inlineStr"/>
    </row>
    <row r="9035" ht="15" customHeight="1">
      <c r="A9035" t="inlineStr">
        <is>
          <t>A 52073-2025</t>
        </is>
      </c>
      <c r="B9035" s="1" t="n">
        <v>45952.64878472222</v>
      </c>
      <c r="C9035" s="1" t="n">
        <v>46011</v>
      </c>
      <c r="D9035" t="inlineStr">
        <is>
          <t>VÄSTRA GÖTALANDS LÄN</t>
        </is>
      </c>
      <c r="E9035" t="inlineStr">
        <is>
          <t>BORÅS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51688-2025</t>
        </is>
      </c>
      <c r="B9036" s="1" t="n">
        <v>45951.53068287037</v>
      </c>
      <c r="C9036" s="1" t="n">
        <v>46011</v>
      </c>
      <c r="D9036" t="inlineStr">
        <is>
          <t>VÄSTRA GÖTALANDS LÄN</t>
        </is>
      </c>
      <c r="E9036" t="inlineStr">
        <is>
          <t>TANUM</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51691-2025</t>
        </is>
      </c>
      <c r="B9037" s="1" t="n">
        <v>45951.53512731481</v>
      </c>
      <c r="C9037" s="1" t="n">
        <v>46011</v>
      </c>
      <c r="D9037" t="inlineStr">
        <is>
          <t>VÄSTRA GÖTALANDS LÄN</t>
        </is>
      </c>
      <c r="E9037" t="inlineStr">
        <is>
          <t>TANUM</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27369-2021</t>
        </is>
      </c>
      <c r="B9038" s="1" t="n">
        <v>44351</v>
      </c>
      <c r="C9038" s="1" t="n">
        <v>46011</v>
      </c>
      <c r="D9038" t="inlineStr">
        <is>
          <t>VÄSTRA GÖTALANDS LÄN</t>
        </is>
      </c>
      <c r="E9038" t="inlineStr">
        <is>
          <t>MARIESTAD</t>
        </is>
      </c>
      <c r="F9038" t="inlineStr">
        <is>
          <t>Sveaskog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27515-2021</t>
        </is>
      </c>
      <c r="B9039" s="1" t="n">
        <v>44351</v>
      </c>
      <c r="C9039" s="1" t="n">
        <v>46011</v>
      </c>
      <c r="D9039" t="inlineStr">
        <is>
          <t>VÄSTRA GÖTALANDS LÄN</t>
        </is>
      </c>
      <c r="E9039" t="inlineStr">
        <is>
          <t>FALKÖPING</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60216-2025</t>
        </is>
      </c>
      <c r="B9040" s="1" t="n">
        <v>45994.54114583333</v>
      </c>
      <c r="C9040" s="1" t="n">
        <v>46011</v>
      </c>
      <c r="D9040" t="inlineStr">
        <is>
          <t>VÄSTRA GÖTALANDS LÄN</t>
        </is>
      </c>
      <c r="E9040" t="inlineStr">
        <is>
          <t>VARA</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60276-2025</t>
        </is>
      </c>
      <c r="B9041" s="1" t="n">
        <v>45994.63376157408</v>
      </c>
      <c r="C9041" s="1" t="n">
        <v>46011</v>
      </c>
      <c r="D9041" t="inlineStr">
        <is>
          <t>VÄSTRA GÖTALANDS LÄN</t>
        </is>
      </c>
      <c r="E9041" t="inlineStr">
        <is>
          <t>FALKÖPING</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20476-2023</t>
        </is>
      </c>
      <c r="B9042" s="1" t="n">
        <v>45057.34075231481</v>
      </c>
      <c r="C9042" s="1" t="n">
        <v>46011</v>
      </c>
      <c r="D9042" t="inlineStr">
        <is>
          <t>VÄSTRA GÖTALANDS LÄN</t>
        </is>
      </c>
      <c r="E9042" t="inlineStr">
        <is>
          <t>STRÖMSTAD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32169-2021</t>
        </is>
      </c>
      <c r="B9043" s="1" t="n">
        <v>44371</v>
      </c>
      <c r="C9043" s="1" t="n">
        <v>46011</v>
      </c>
      <c r="D9043" t="inlineStr">
        <is>
          <t>VÄSTRA GÖTALANDS LÄN</t>
        </is>
      </c>
      <c r="E9043" t="inlineStr">
        <is>
          <t>MARIESTAD</t>
        </is>
      </c>
      <c r="F9043" t="inlineStr">
        <is>
          <t>Kyrkan</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30861-2023</t>
        </is>
      </c>
      <c r="B9044" s="1" t="n">
        <v>45113.25549768518</v>
      </c>
      <c r="C9044" s="1" t="n">
        <v>46011</v>
      </c>
      <c r="D9044" t="inlineStr">
        <is>
          <t>VÄSTRA GÖTALANDS LÄN</t>
        </is>
      </c>
      <c r="E9044" t="inlineStr">
        <is>
          <t>BORÅS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51698-2025</t>
        </is>
      </c>
      <c r="B9045" s="1" t="n">
        <v>45951.55238425926</v>
      </c>
      <c r="C9045" s="1" t="n">
        <v>46011</v>
      </c>
      <c r="D9045" t="inlineStr">
        <is>
          <t>VÄSTRA GÖTALANDS LÄN</t>
        </is>
      </c>
      <c r="E9045" t="inlineStr">
        <is>
          <t>TANUM</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51725-2025</t>
        </is>
      </c>
      <c r="B9046" s="1" t="n">
        <v>45951.58354166667</v>
      </c>
      <c r="C9046" s="1" t="n">
        <v>46011</v>
      </c>
      <c r="D9046" t="inlineStr">
        <is>
          <t>VÄSTRA GÖTALANDS LÄN</t>
        </is>
      </c>
      <c r="E9046" t="inlineStr">
        <is>
          <t>BENGTSFORS</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47262-2023</t>
        </is>
      </c>
      <c r="B9047" s="1" t="n">
        <v>45202</v>
      </c>
      <c r="C9047" s="1" t="n">
        <v>46011</v>
      </c>
      <c r="D9047" t="inlineStr">
        <is>
          <t>VÄSTRA GÖTALANDS LÄN</t>
        </is>
      </c>
      <c r="E9047" t="inlineStr">
        <is>
          <t>BORÅS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22541-2023</t>
        </is>
      </c>
      <c r="B9048" s="1" t="n">
        <v>45071</v>
      </c>
      <c r="C9048" s="1" t="n">
        <v>46011</v>
      </c>
      <c r="D9048" t="inlineStr">
        <is>
          <t>VÄSTRA GÖTALANDS LÄN</t>
        </is>
      </c>
      <c r="E9048" t="inlineStr">
        <is>
          <t>BOLLEBYGD</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23210-2023</t>
        </is>
      </c>
      <c r="B9049" s="1" t="n">
        <v>45071</v>
      </c>
      <c r="C9049" s="1" t="n">
        <v>46011</v>
      </c>
      <c r="D9049" t="inlineStr">
        <is>
          <t>VÄSTRA GÖTALANDS LÄN</t>
        </is>
      </c>
      <c r="E9049" t="inlineStr">
        <is>
          <t>UDDEVALLA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51546-2025</t>
        </is>
      </c>
      <c r="B9050" s="1" t="n">
        <v>45950.7683912037</v>
      </c>
      <c r="C9050" s="1" t="n">
        <v>46011</v>
      </c>
      <c r="D9050" t="inlineStr">
        <is>
          <t>VÄSTRA GÖTALANDS LÄN</t>
        </is>
      </c>
      <c r="E9050" t="inlineStr">
        <is>
          <t>STENUNGSUND</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18739-2023</t>
        </is>
      </c>
      <c r="B9051" s="1" t="n">
        <v>45043</v>
      </c>
      <c r="C9051" s="1" t="n">
        <v>46011</v>
      </c>
      <c r="D9051" t="inlineStr">
        <is>
          <t>VÄSTRA GÖTALANDS LÄN</t>
        </is>
      </c>
      <c r="E9051" t="inlineStr">
        <is>
          <t>SKARA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19087-2025</t>
        </is>
      </c>
      <c r="B9052" s="1" t="n">
        <v>45767.38868055555</v>
      </c>
      <c r="C9052" s="1" t="n">
        <v>46011</v>
      </c>
      <c r="D9052" t="inlineStr">
        <is>
          <t>VÄSTRA GÖTALANDS LÄN</t>
        </is>
      </c>
      <c r="E9052" t="inlineStr">
        <is>
          <t>LIDKÖPING</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19133-2025</t>
        </is>
      </c>
      <c r="B9053" s="1" t="n">
        <v>45764</v>
      </c>
      <c r="C9053" s="1" t="n">
        <v>46011</v>
      </c>
      <c r="D9053" t="inlineStr">
        <is>
          <t>VÄSTRA GÖTALANDS LÄN</t>
        </is>
      </c>
      <c r="E9053" t="inlineStr">
        <is>
          <t>VÄNERSBORG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19134-2025</t>
        </is>
      </c>
      <c r="B9054" s="1" t="n">
        <v>45764</v>
      </c>
      <c r="C9054" s="1" t="n">
        <v>46011</v>
      </c>
      <c r="D9054" t="inlineStr">
        <is>
          <t>VÄSTRA GÖTALANDS LÄN</t>
        </is>
      </c>
      <c r="E9054" t="inlineStr">
        <is>
          <t>STRÖMSTAD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59985-2025</t>
        </is>
      </c>
      <c r="B9055" s="1" t="n">
        <v>45993.54930555556</v>
      </c>
      <c r="C9055" s="1" t="n">
        <v>46011</v>
      </c>
      <c r="D9055" t="inlineStr">
        <is>
          <t>VÄSTRA GÖTALANDS LÄN</t>
        </is>
      </c>
      <c r="E9055" t="inlineStr">
        <is>
          <t>KUNGÄLV</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19125-2023</t>
        </is>
      </c>
      <c r="B9056" s="1" t="n">
        <v>45048</v>
      </c>
      <c r="C9056" s="1" t="n">
        <v>46011</v>
      </c>
      <c r="D9056" t="inlineStr">
        <is>
          <t>VÄSTRA GÖTALANDS LÄN</t>
        </is>
      </c>
      <c r="E9056" t="inlineStr">
        <is>
          <t>TANUM</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60327-2025</t>
        </is>
      </c>
      <c r="B9057" s="1" t="n">
        <v>45994.74569444444</v>
      </c>
      <c r="C9057" s="1" t="n">
        <v>46011</v>
      </c>
      <c r="D9057" t="inlineStr">
        <is>
          <t>VÄSTRA GÖTALANDS LÄN</t>
        </is>
      </c>
      <c r="E9057" t="inlineStr">
        <is>
          <t>BENGTSFORS</t>
        </is>
      </c>
      <c r="G9057" t="n">
        <v>26.5</v>
      </c>
      <c r="H9057" t="n">
        <v>0</v>
      </c>
      <c r="I9057" t="n">
        <v>0</v>
      </c>
      <c r="J9057" t="n">
        <v>0</v>
      </c>
      <c r="K9057" t="n">
        <v>0</v>
      </c>
      <c r="L9057" t="n">
        <v>0</v>
      </c>
      <c r="M9057" t="n">
        <v>0</v>
      </c>
      <c r="N9057" t="n">
        <v>0</v>
      </c>
      <c r="O9057" t="n">
        <v>0</v>
      </c>
      <c r="P9057" t="n">
        <v>0</v>
      </c>
      <c r="Q9057" t="n">
        <v>0</v>
      </c>
      <c r="R9057" s="2" t="inlineStr"/>
    </row>
    <row r="9058" ht="15" customHeight="1">
      <c r="A9058" t="inlineStr">
        <is>
          <t>A 60328-2025</t>
        </is>
      </c>
      <c r="B9058" s="1" t="n">
        <v>45994.74658564815</v>
      </c>
      <c r="C9058" s="1" t="n">
        <v>46011</v>
      </c>
      <c r="D9058" t="inlineStr">
        <is>
          <t>VÄSTRA GÖTALANDS LÄN</t>
        </is>
      </c>
      <c r="E9058" t="inlineStr">
        <is>
          <t>VÄNERSBORG</t>
        </is>
      </c>
      <c r="G9058" t="n">
        <v>8.9</v>
      </c>
      <c r="H9058" t="n">
        <v>0</v>
      </c>
      <c r="I9058" t="n">
        <v>0</v>
      </c>
      <c r="J9058" t="n">
        <v>0</v>
      </c>
      <c r="K9058" t="n">
        <v>0</v>
      </c>
      <c r="L9058" t="n">
        <v>0</v>
      </c>
      <c r="M9058" t="n">
        <v>0</v>
      </c>
      <c r="N9058" t="n">
        <v>0</v>
      </c>
      <c r="O9058" t="n">
        <v>0</v>
      </c>
      <c r="P9058" t="n">
        <v>0</v>
      </c>
      <c r="Q9058" t="n">
        <v>0</v>
      </c>
      <c r="R9058" s="2" t="inlineStr"/>
    </row>
    <row r="9059" ht="15" customHeight="1">
      <c r="A9059" t="inlineStr">
        <is>
          <t>A 18245-2025</t>
        </is>
      </c>
      <c r="B9059" s="1" t="n">
        <v>45762.32237268519</v>
      </c>
      <c r="C9059" s="1" t="n">
        <v>46011</v>
      </c>
      <c r="D9059" t="inlineStr">
        <is>
          <t>VÄSTRA GÖTALANDS LÄN</t>
        </is>
      </c>
      <c r="E9059" t="inlineStr">
        <is>
          <t>MARIESTAD</t>
        </is>
      </c>
      <c r="F9059" t="inlineStr">
        <is>
          <t>Sveaskog</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60160-2025</t>
        </is>
      </c>
      <c r="B9060" s="1" t="n">
        <v>45994.42851851852</v>
      </c>
      <c r="C9060" s="1" t="n">
        <v>46011</v>
      </c>
      <c r="D9060" t="inlineStr">
        <is>
          <t>VÄSTRA GÖTALANDS LÄN</t>
        </is>
      </c>
      <c r="E9060" t="inlineStr">
        <is>
          <t>ULRICEHAMN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60164-2025</t>
        </is>
      </c>
      <c r="B9061" s="1" t="n">
        <v>45994.43108796296</v>
      </c>
      <c r="C9061" s="1" t="n">
        <v>46011</v>
      </c>
      <c r="D9061" t="inlineStr">
        <is>
          <t>VÄSTRA GÖTALANDS LÄN</t>
        </is>
      </c>
      <c r="E9061" t="inlineStr">
        <is>
          <t>ULRICEHAMN</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60168-2025</t>
        </is>
      </c>
      <c r="B9062" s="1" t="n">
        <v>45994.44393518518</v>
      </c>
      <c r="C9062" s="1" t="n">
        <v>46011</v>
      </c>
      <c r="D9062" t="inlineStr">
        <is>
          <t>VÄSTRA GÖTALANDS LÄN</t>
        </is>
      </c>
      <c r="E9062" t="inlineStr">
        <is>
          <t>ULRICEHAMN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60187-2025</t>
        </is>
      </c>
      <c r="B9063" s="1" t="n">
        <v>45994.47895833333</v>
      </c>
      <c r="C9063" s="1" t="n">
        <v>46011</v>
      </c>
      <c r="D9063" t="inlineStr">
        <is>
          <t>VÄSTRA GÖTALANDS LÄN</t>
        </is>
      </c>
      <c r="E9063" t="inlineStr">
        <is>
          <t>ULRICEHAMN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60195-2025</t>
        </is>
      </c>
      <c r="B9064" s="1" t="n">
        <v>45994.48487268519</v>
      </c>
      <c r="C9064" s="1" t="n">
        <v>46011</v>
      </c>
      <c r="D9064" t="inlineStr">
        <is>
          <t>VÄSTRA GÖTALANDS LÄN</t>
        </is>
      </c>
      <c r="E9064" t="inlineStr">
        <is>
          <t>BORÅS</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60197-2025</t>
        </is>
      </c>
      <c r="B9065" s="1" t="n">
        <v>45994.48671296296</v>
      </c>
      <c r="C9065" s="1" t="n">
        <v>46011</v>
      </c>
      <c r="D9065" t="inlineStr">
        <is>
          <t>VÄSTRA GÖTALANDS LÄN</t>
        </is>
      </c>
      <c r="E9065" t="inlineStr">
        <is>
          <t>DALS-ED</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51984-2025</t>
        </is>
      </c>
      <c r="B9066" s="1" t="n">
        <v>45952.57494212963</v>
      </c>
      <c r="C9066" s="1" t="n">
        <v>46011</v>
      </c>
      <c r="D9066" t="inlineStr">
        <is>
          <t>VÄSTRA GÖTALANDS LÄN</t>
        </is>
      </c>
      <c r="E9066" t="inlineStr">
        <is>
          <t>ALINGSÅS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51683-2025</t>
        </is>
      </c>
      <c r="B9067" s="1" t="n">
        <v>45951.52045138889</v>
      </c>
      <c r="C9067" s="1" t="n">
        <v>46011</v>
      </c>
      <c r="D9067" t="inlineStr">
        <is>
          <t>VÄSTRA GÖTALANDS LÄN</t>
        </is>
      </c>
      <c r="E9067" t="inlineStr">
        <is>
          <t>ULRICEHAMN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12477-2025</t>
        </is>
      </c>
      <c r="B9068" s="1" t="n">
        <v>45730.5670949074</v>
      </c>
      <c r="C9068" s="1" t="n">
        <v>46011</v>
      </c>
      <c r="D9068" t="inlineStr">
        <is>
          <t>VÄSTRA GÖTALANDS LÄN</t>
        </is>
      </c>
      <c r="E9068" t="inlineStr">
        <is>
          <t>SVENLJUNGA</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49416-2021</t>
        </is>
      </c>
      <c r="B9069" s="1" t="n">
        <v>44454.6478587963</v>
      </c>
      <c r="C9069" s="1" t="n">
        <v>46011</v>
      </c>
      <c r="D9069" t="inlineStr">
        <is>
          <t>VÄSTRA GÖTALANDS LÄN</t>
        </is>
      </c>
      <c r="E9069" t="inlineStr">
        <is>
          <t>FALKÖPING</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31867-2025</t>
        </is>
      </c>
      <c r="B9070" s="1" t="n">
        <v>45834.64337962963</v>
      </c>
      <c r="C9070" s="1" t="n">
        <v>46011</v>
      </c>
      <c r="D9070" t="inlineStr">
        <is>
          <t>VÄSTRA GÖTALANDS LÄN</t>
        </is>
      </c>
      <c r="E9070" t="inlineStr">
        <is>
          <t>DALS-ED</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20447-2025</t>
        </is>
      </c>
      <c r="B9071" s="1" t="n">
        <v>45775.49373842592</v>
      </c>
      <c r="C9071" s="1" t="n">
        <v>46011</v>
      </c>
      <c r="D9071" t="inlineStr">
        <is>
          <t>VÄSTRA GÖTALANDS LÄN</t>
        </is>
      </c>
      <c r="E9071" t="inlineStr">
        <is>
          <t>TÖREBODA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20465-2025</t>
        </is>
      </c>
      <c r="B9072" s="1" t="n">
        <v>45775.53862268518</v>
      </c>
      <c r="C9072" s="1" t="n">
        <v>46011</v>
      </c>
      <c r="D9072" t="inlineStr">
        <is>
          <t>VÄSTRA GÖTALANDS LÄN</t>
        </is>
      </c>
      <c r="E9072" t="inlineStr">
        <is>
          <t>ULRICEHAMN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51817-2025</t>
        </is>
      </c>
      <c r="B9073" s="1" t="n">
        <v>45951.85413194444</v>
      </c>
      <c r="C9073" s="1" t="n">
        <v>46011</v>
      </c>
      <c r="D9073" t="inlineStr">
        <is>
          <t>VÄSTRA GÖTALANDS LÄN</t>
        </is>
      </c>
      <c r="E9073" t="inlineStr">
        <is>
          <t>DALS-ED</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51821-2025</t>
        </is>
      </c>
      <c r="B9074" s="1" t="n">
        <v>45951.90053240741</v>
      </c>
      <c r="C9074" s="1" t="n">
        <v>46011</v>
      </c>
      <c r="D9074" t="inlineStr">
        <is>
          <t>VÄSTRA GÖTALANDS LÄN</t>
        </is>
      </c>
      <c r="E9074" t="inlineStr">
        <is>
          <t>DALS-ED</t>
        </is>
      </c>
      <c r="F9074" t="inlineStr">
        <is>
          <t>Kyrkan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1937-2025</t>
        </is>
      </c>
      <c r="B9075" s="1" t="n">
        <v>45671.91678240741</v>
      </c>
      <c r="C9075" s="1" t="n">
        <v>46011</v>
      </c>
      <c r="D9075" t="inlineStr">
        <is>
          <t>VÄSTRA GÖTALANDS LÄN</t>
        </is>
      </c>
      <c r="E9075" t="inlineStr">
        <is>
          <t>ALINGSÅS</t>
        </is>
      </c>
      <c r="F9075" t="inlineStr">
        <is>
          <t>Kyrkan</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1949-2025</t>
        </is>
      </c>
      <c r="B9076" s="1" t="n">
        <v>45672.34460648148</v>
      </c>
      <c r="C9076" s="1" t="n">
        <v>46011</v>
      </c>
      <c r="D9076" t="inlineStr">
        <is>
          <t>VÄSTRA GÖTALANDS LÄN</t>
        </is>
      </c>
      <c r="E9076" t="inlineStr">
        <is>
          <t>LIDKÖPING</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52075-2025</t>
        </is>
      </c>
      <c r="B9077" s="1" t="n">
        <v>45952.65550925926</v>
      </c>
      <c r="C9077" s="1" t="n">
        <v>46011</v>
      </c>
      <c r="D9077" t="inlineStr">
        <is>
          <t>VÄSTRA GÖTALANDS LÄN</t>
        </is>
      </c>
      <c r="E9077" t="inlineStr">
        <is>
          <t>BOLLEBYGD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52108-2025</t>
        </is>
      </c>
      <c r="B9078" s="1" t="n">
        <v>45952.6910300926</v>
      </c>
      <c r="C9078" s="1" t="n">
        <v>46011</v>
      </c>
      <c r="D9078" t="inlineStr">
        <is>
          <t>VÄSTRA GÖTALANDS LÄN</t>
        </is>
      </c>
      <c r="E9078" t="inlineStr">
        <is>
          <t>BOLLEBYGD</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2047-2025</t>
        </is>
      </c>
      <c r="B9079" s="1" t="n">
        <v>45672.51982638889</v>
      </c>
      <c r="C9079" s="1" t="n">
        <v>46011</v>
      </c>
      <c r="D9079" t="inlineStr">
        <is>
          <t>VÄSTRA GÖTALANDS LÄN</t>
        </is>
      </c>
      <c r="E9079" t="inlineStr">
        <is>
          <t>UDDEVALLA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60071-2025</t>
        </is>
      </c>
      <c r="B9080" s="1" t="n">
        <v>45993.67202546296</v>
      </c>
      <c r="C9080" s="1" t="n">
        <v>46011</v>
      </c>
      <c r="D9080" t="inlineStr">
        <is>
          <t>VÄSTRA GÖTALANDS LÄN</t>
        </is>
      </c>
      <c r="E9080" t="inlineStr">
        <is>
          <t>HJO</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51987-2025</t>
        </is>
      </c>
      <c r="B9081" s="1" t="n">
        <v>45952.57729166667</v>
      </c>
      <c r="C9081" s="1" t="n">
        <v>46011</v>
      </c>
      <c r="D9081" t="inlineStr">
        <is>
          <t>VÄSTRA GÖTALANDS LÄN</t>
        </is>
      </c>
      <c r="E9081" t="inlineStr">
        <is>
          <t>ALINGSÅS</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4416-2025</t>
        </is>
      </c>
      <c r="B9082" s="1" t="n">
        <v>45686.46358796296</v>
      </c>
      <c r="C9082" s="1" t="n">
        <v>46011</v>
      </c>
      <c r="D9082" t="inlineStr">
        <is>
          <t>VÄSTRA GÖTALANDS LÄN</t>
        </is>
      </c>
      <c r="E9082" t="inlineStr">
        <is>
          <t>MELLERUD</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52019-2025</t>
        </is>
      </c>
      <c r="B9083" s="1" t="n">
        <v>45952.59891203704</v>
      </c>
      <c r="C9083" s="1" t="n">
        <v>46011</v>
      </c>
      <c r="D9083" t="inlineStr">
        <is>
          <t>VÄSTRA GÖTALANDS LÄN</t>
        </is>
      </c>
      <c r="E9083" t="inlineStr">
        <is>
          <t>MARK</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15971-2023</t>
        </is>
      </c>
      <c r="B9084" s="1" t="n">
        <v>45022.71006944445</v>
      </c>
      <c r="C9084" s="1" t="n">
        <v>46011</v>
      </c>
      <c r="D9084" t="inlineStr">
        <is>
          <t>VÄSTRA GÖTALANDS LÄN</t>
        </is>
      </c>
      <c r="E9084" t="inlineStr">
        <is>
          <t>MELLERUD</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6246-2025</t>
        </is>
      </c>
      <c r="B9085" s="1" t="n">
        <v>45698.57233796296</v>
      </c>
      <c r="C9085" s="1" t="n">
        <v>46011</v>
      </c>
      <c r="D9085" t="inlineStr">
        <is>
          <t>VÄSTRA GÖTALANDS LÄN</t>
        </is>
      </c>
      <c r="E9085" t="inlineStr">
        <is>
          <t>FALKÖPING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6256-2025</t>
        </is>
      </c>
      <c r="B9086" s="1" t="n">
        <v>45698.59190972222</v>
      </c>
      <c r="C9086" s="1" t="n">
        <v>46011</v>
      </c>
      <c r="D9086" t="inlineStr">
        <is>
          <t>VÄSTRA GÖTALANDS LÄN</t>
        </is>
      </c>
      <c r="E9086" t="inlineStr">
        <is>
          <t>BORÅS</t>
        </is>
      </c>
      <c r="G9086" t="n">
        <v>12.8</v>
      </c>
      <c r="H9086" t="n">
        <v>0</v>
      </c>
      <c r="I9086" t="n">
        <v>0</v>
      </c>
      <c r="J9086" t="n">
        <v>0</v>
      </c>
      <c r="K9086" t="n">
        <v>0</v>
      </c>
      <c r="L9086" t="n">
        <v>0</v>
      </c>
      <c r="M9086" t="n">
        <v>0</v>
      </c>
      <c r="N9086" t="n">
        <v>0</v>
      </c>
      <c r="O9086" t="n">
        <v>0</v>
      </c>
      <c r="P9086" t="n">
        <v>0</v>
      </c>
      <c r="Q9086" t="n">
        <v>0</v>
      </c>
      <c r="R9086" s="2" t="inlineStr"/>
    </row>
    <row r="9087" ht="15" customHeight="1">
      <c r="A9087" t="inlineStr">
        <is>
          <t>A 51979-2025</t>
        </is>
      </c>
      <c r="B9087" s="1" t="n">
        <v>45952.5709375</v>
      </c>
      <c r="C9087" s="1" t="n">
        <v>46011</v>
      </c>
      <c r="D9087" t="inlineStr">
        <is>
          <t>VÄSTRA GÖTALANDS LÄN</t>
        </is>
      </c>
      <c r="E9087" t="inlineStr">
        <is>
          <t>HERRLJUNGA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51980-2025</t>
        </is>
      </c>
      <c r="B9088" s="1" t="n">
        <v>45952.57109953704</v>
      </c>
      <c r="C9088" s="1" t="n">
        <v>46011</v>
      </c>
      <c r="D9088" t="inlineStr">
        <is>
          <t>VÄSTRA GÖTALANDS LÄN</t>
        </is>
      </c>
      <c r="E9088" t="inlineStr">
        <is>
          <t>ÅMÅL</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20198-2023</t>
        </is>
      </c>
      <c r="B9089" s="1" t="n">
        <v>45055.586875</v>
      </c>
      <c r="C9089" s="1" t="n">
        <v>46011</v>
      </c>
      <c r="D9089" t="inlineStr">
        <is>
          <t>VÄSTRA GÖTALANDS LÄN</t>
        </is>
      </c>
      <c r="E9089" t="inlineStr">
        <is>
          <t>GRÄSTORP</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16154-2025</t>
        </is>
      </c>
      <c r="B9090" s="1" t="n">
        <v>45750.48502314815</v>
      </c>
      <c r="C9090" s="1" t="n">
        <v>46011</v>
      </c>
      <c r="D9090" t="inlineStr">
        <is>
          <t>VÄSTRA GÖTALANDS LÄN</t>
        </is>
      </c>
      <c r="E9090" t="inlineStr">
        <is>
          <t>MARK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20220-2023</t>
        </is>
      </c>
      <c r="B9091" s="1" t="n">
        <v>45055</v>
      </c>
      <c r="C9091" s="1" t="n">
        <v>46011</v>
      </c>
      <c r="D9091" t="inlineStr">
        <is>
          <t>VÄSTRA GÖTALANDS LÄN</t>
        </is>
      </c>
      <c r="E9091" t="inlineStr">
        <is>
          <t>MUNKEDAL</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34104-2024</t>
        </is>
      </c>
      <c r="B9092" s="1" t="n">
        <v>45523.79202546296</v>
      </c>
      <c r="C9092" s="1" t="n">
        <v>46011</v>
      </c>
      <c r="D9092" t="inlineStr">
        <is>
          <t>VÄSTRA GÖTALANDS LÄN</t>
        </is>
      </c>
      <c r="E9092" t="inlineStr">
        <is>
          <t>ALE</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51739-2025</t>
        </is>
      </c>
      <c r="B9093" s="1" t="n">
        <v>45951.60511574074</v>
      </c>
      <c r="C9093" s="1" t="n">
        <v>46011</v>
      </c>
      <c r="D9093" t="inlineStr">
        <is>
          <t>VÄSTRA GÖTALANDS LÄN</t>
        </is>
      </c>
      <c r="E9093" t="inlineStr">
        <is>
          <t>BENGTSFORS</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13997-2025</t>
        </is>
      </c>
      <c r="B9094" s="1" t="n">
        <v>45739.80998842593</v>
      </c>
      <c r="C9094" s="1" t="n">
        <v>46011</v>
      </c>
      <c r="D9094" t="inlineStr">
        <is>
          <t>VÄSTRA GÖTALANDS LÄN</t>
        </is>
      </c>
      <c r="E9094" t="inlineStr">
        <is>
          <t>TANUM</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57202-2022</t>
        </is>
      </c>
      <c r="B9095" s="1" t="n">
        <v>44895</v>
      </c>
      <c r="C9095" s="1" t="n">
        <v>46011</v>
      </c>
      <c r="D9095" t="inlineStr">
        <is>
          <t>VÄSTRA GÖTALANDS LÄN</t>
        </is>
      </c>
      <c r="E9095" t="inlineStr">
        <is>
          <t>BENGTSFORS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51741-2025</t>
        </is>
      </c>
      <c r="B9096" s="1" t="n">
        <v>45951.60694444444</v>
      </c>
      <c r="C9096" s="1" t="n">
        <v>46011</v>
      </c>
      <c r="D9096" t="inlineStr">
        <is>
          <t>VÄSTRA GÖTALANDS LÄN</t>
        </is>
      </c>
      <c r="E9096" t="inlineStr">
        <is>
          <t>BENGTSFORS</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60287-2025</t>
        </is>
      </c>
      <c r="B9097" s="1" t="n">
        <v>45994.64711805555</v>
      </c>
      <c r="C9097" s="1" t="n">
        <v>46011</v>
      </c>
      <c r="D9097" t="inlineStr">
        <is>
          <t>VÄSTRA GÖTALANDS LÄN</t>
        </is>
      </c>
      <c r="E9097" t="inlineStr">
        <is>
          <t>ALE</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52012-2025</t>
        </is>
      </c>
      <c r="B9098" s="1" t="n">
        <v>45952.59604166666</v>
      </c>
      <c r="C9098" s="1" t="n">
        <v>46011</v>
      </c>
      <c r="D9098" t="inlineStr">
        <is>
          <t>VÄSTRA GÖTALANDS LÄN</t>
        </is>
      </c>
      <c r="E9098" t="inlineStr">
        <is>
          <t>STENUNGSUND</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52024-2025</t>
        </is>
      </c>
      <c r="B9099" s="1" t="n">
        <v>45952.60252314815</v>
      </c>
      <c r="C9099" s="1" t="n">
        <v>46011</v>
      </c>
      <c r="D9099" t="inlineStr">
        <is>
          <t>VÄSTRA GÖTALANDS LÄN</t>
        </is>
      </c>
      <c r="E9099" t="inlineStr">
        <is>
          <t>HERRLJUNGA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40202-2021</t>
        </is>
      </c>
      <c r="B9100" s="1" t="n">
        <v>44418</v>
      </c>
      <c r="C9100" s="1" t="n">
        <v>46011</v>
      </c>
      <c r="D9100" t="inlineStr">
        <is>
          <t>VÄSTRA GÖTALANDS LÄN</t>
        </is>
      </c>
      <c r="E9100" t="inlineStr">
        <is>
          <t>BOLLEBYGD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60044-2025</t>
        </is>
      </c>
      <c r="B9101" s="1" t="n">
        <v>45993.62711805556</v>
      </c>
      <c r="C9101" s="1" t="n">
        <v>46011</v>
      </c>
      <c r="D9101" t="inlineStr">
        <is>
          <t>VÄSTRA GÖTALANDS LÄN</t>
        </is>
      </c>
      <c r="E9101" t="inlineStr">
        <is>
          <t>TRANEMO</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7558-2025</t>
        </is>
      </c>
      <c r="B9102" s="1" t="n">
        <v>45705.58423611111</v>
      </c>
      <c r="C9102" s="1" t="n">
        <v>46011</v>
      </c>
      <c r="D9102" t="inlineStr">
        <is>
          <t>VÄSTRA GÖTALANDS LÄN</t>
        </is>
      </c>
      <c r="E9102" t="inlineStr">
        <is>
          <t>TROLLHÄTTAN</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6321-2025</t>
        </is>
      </c>
      <c r="B9103" s="1" t="n">
        <v>45698</v>
      </c>
      <c r="C9103" s="1" t="n">
        <v>46011</v>
      </c>
      <c r="D9103" t="inlineStr">
        <is>
          <t>VÄSTRA GÖTALANDS LÄN</t>
        </is>
      </c>
      <c r="E9103" t="inlineStr">
        <is>
          <t>ULRICEHAMN</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54774-2023</t>
        </is>
      </c>
      <c r="B9104" s="1" t="n">
        <v>45236.4627662037</v>
      </c>
      <c r="C9104" s="1" t="n">
        <v>46011</v>
      </c>
      <c r="D9104" t="inlineStr">
        <is>
          <t>VÄSTRA GÖTALANDS LÄN</t>
        </is>
      </c>
      <c r="E9104" t="inlineStr">
        <is>
          <t>FALKÖPING</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22384-2023</t>
        </is>
      </c>
      <c r="B9105" s="1" t="n">
        <v>45070.6187037037</v>
      </c>
      <c r="C9105" s="1" t="n">
        <v>46011</v>
      </c>
      <c r="D9105" t="inlineStr">
        <is>
          <t>VÄSTRA GÖTALANDS LÄN</t>
        </is>
      </c>
      <c r="E9105" t="inlineStr">
        <is>
          <t>TRANEMO</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60030-2025</t>
        </is>
      </c>
      <c r="B9106" s="1" t="n">
        <v>45993.61234953703</v>
      </c>
      <c r="C9106" s="1" t="n">
        <v>46011</v>
      </c>
      <c r="D9106" t="inlineStr">
        <is>
          <t>VÄSTRA GÖTALANDS LÄN</t>
        </is>
      </c>
      <c r="E9106" t="inlineStr">
        <is>
          <t>TRANEMO</t>
        </is>
      </c>
      <c r="G9106" t="n">
        <v>14.8</v>
      </c>
      <c r="H9106" t="n">
        <v>0</v>
      </c>
      <c r="I9106" t="n">
        <v>0</v>
      </c>
      <c r="J9106" t="n">
        <v>0</v>
      </c>
      <c r="K9106" t="n">
        <v>0</v>
      </c>
      <c r="L9106" t="n">
        <v>0</v>
      </c>
      <c r="M9106" t="n">
        <v>0</v>
      </c>
      <c r="N9106" t="n">
        <v>0</v>
      </c>
      <c r="O9106" t="n">
        <v>0</v>
      </c>
      <c r="P9106" t="n">
        <v>0</v>
      </c>
      <c r="Q9106" t="n">
        <v>0</v>
      </c>
      <c r="R9106" s="2" t="inlineStr"/>
    </row>
    <row r="9107" ht="15" customHeight="1">
      <c r="A9107" t="inlineStr">
        <is>
          <t>A 22416-2023</t>
        </is>
      </c>
      <c r="B9107" s="1" t="n">
        <v>45070</v>
      </c>
      <c r="C9107" s="1" t="n">
        <v>46011</v>
      </c>
      <c r="D9107" t="inlineStr">
        <is>
          <t>VÄSTRA GÖTALANDS LÄN</t>
        </is>
      </c>
      <c r="E9107" t="inlineStr">
        <is>
          <t>ULRICEHAMN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42822-2021</t>
        </is>
      </c>
      <c r="B9108" s="1" t="n">
        <v>44430</v>
      </c>
      <c r="C9108" s="1" t="n">
        <v>46011</v>
      </c>
      <c r="D9108" t="inlineStr">
        <is>
          <t>VÄSTRA GÖTALANDS LÄN</t>
        </is>
      </c>
      <c r="E9108" t="inlineStr">
        <is>
          <t>MARK</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50261-2023</t>
        </is>
      </c>
      <c r="B9109" s="1" t="n">
        <v>45216.37878472222</v>
      </c>
      <c r="C9109" s="1" t="n">
        <v>46011</v>
      </c>
      <c r="D9109" t="inlineStr">
        <is>
          <t>VÄSTRA GÖTALANDS LÄN</t>
        </is>
      </c>
      <c r="E9109" t="inlineStr">
        <is>
          <t>STRÖMSTAD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60092-2025</t>
        </is>
      </c>
      <c r="B9110" s="1" t="n">
        <v>45993.72543981481</v>
      </c>
      <c r="C9110" s="1" t="n">
        <v>46011</v>
      </c>
      <c r="D9110" t="inlineStr">
        <is>
          <t>VÄSTRA GÖTALANDS LÄN</t>
        </is>
      </c>
      <c r="E9110" t="inlineStr">
        <is>
          <t>BOLLEBYGD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60093-2025</t>
        </is>
      </c>
      <c r="B9111" s="1" t="n">
        <v>45993.72949074074</v>
      </c>
      <c r="C9111" s="1" t="n">
        <v>46011</v>
      </c>
      <c r="D9111" t="inlineStr">
        <is>
          <t>VÄSTRA GÖTALANDS LÄN</t>
        </is>
      </c>
      <c r="E9111" t="inlineStr">
        <is>
          <t>BOLLEBYGD</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62331-2023</t>
        </is>
      </c>
      <c r="B9112" s="1" t="n">
        <v>45267</v>
      </c>
      <c r="C9112" s="1" t="n">
        <v>46011</v>
      </c>
      <c r="D9112" t="inlineStr">
        <is>
          <t>VÄSTRA GÖTALANDS LÄN</t>
        </is>
      </c>
      <c r="E9112" t="inlineStr">
        <is>
          <t>MUNKEDAL</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59871-2025</t>
        </is>
      </c>
      <c r="B9113" s="1" t="n">
        <v>45992.92416666666</v>
      </c>
      <c r="C9113" s="1" t="n">
        <v>46011</v>
      </c>
      <c r="D9113" t="inlineStr">
        <is>
          <t>VÄSTRA GÖTALANDS LÄN</t>
        </is>
      </c>
      <c r="E9113" t="inlineStr">
        <is>
          <t>BOLLEBYGD</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51727-2025</t>
        </is>
      </c>
      <c r="B9114" s="1" t="n">
        <v>45951.59208333334</v>
      </c>
      <c r="C9114" s="1" t="n">
        <v>46011</v>
      </c>
      <c r="D9114" t="inlineStr">
        <is>
          <t>VÄSTRA GÖTALANDS LÄN</t>
        </is>
      </c>
      <c r="E9114" t="inlineStr">
        <is>
          <t>BENGTSFORS</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12313-2024</t>
        </is>
      </c>
      <c r="B9115" s="1" t="n">
        <v>45378.64171296296</v>
      </c>
      <c r="C9115" s="1" t="n">
        <v>46011</v>
      </c>
      <c r="D9115" t="inlineStr">
        <is>
          <t>VÄSTRA GÖTALANDS LÄN</t>
        </is>
      </c>
      <c r="E9115" t="inlineStr">
        <is>
          <t>MARK</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52077-2025</t>
        </is>
      </c>
      <c r="B9116" s="1" t="n">
        <v>45952.65769675926</v>
      </c>
      <c r="C9116" s="1" t="n">
        <v>46011</v>
      </c>
      <c r="D9116" t="inlineStr">
        <is>
          <t>VÄSTRA GÖTALANDS LÄN</t>
        </is>
      </c>
      <c r="E9116" t="inlineStr">
        <is>
          <t>BOLLEBYGD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52115-2025</t>
        </is>
      </c>
      <c r="B9117" s="1" t="n">
        <v>45952.70298611111</v>
      </c>
      <c r="C9117" s="1" t="n">
        <v>46011</v>
      </c>
      <c r="D9117" t="inlineStr">
        <is>
          <t>VÄSTRA GÖTALANDS LÄN</t>
        </is>
      </c>
      <c r="E9117" t="inlineStr">
        <is>
          <t>MUNKEDAL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60263-2025</t>
        </is>
      </c>
      <c r="B9118" s="1" t="n">
        <v>45994.61512731481</v>
      </c>
      <c r="C9118" s="1" t="n">
        <v>46011</v>
      </c>
      <c r="D9118" t="inlineStr">
        <is>
          <t>VÄSTRA GÖTALANDS LÄN</t>
        </is>
      </c>
      <c r="E9118" t="inlineStr">
        <is>
          <t>TRANEMO</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52827-2021</t>
        </is>
      </c>
      <c r="B9119" s="1" t="n">
        <v>44467</v>
      </c>
      <c r="C9119" s="1" t="n">
        <v>46011</v>
      </c>
      <c r="D9119" t="inlineStr">
        <is>
          <t>VÄSTRA GÖTALANDS LÄN</t>
        </is>
      </c>
      <c r="E9119" t="inlineStr">
        <is>
          <t>BORÅS</t>
        </is>
      </c>
      <c r="G9119" t="n">
        <v>19.4</v>
      </c>
      <c r="H9119" t="n">
        <v>0</v>
      </c>
      <c r="I9119" t="n">
        <v>0</v>
      </c>
      <c r="J9119" t="n">
        <v>0</v>
      </c>
      <c r="K9119" t="n">
        <v>0</v>
      </c>
      <c r="L9119" t="n">
        <v>0</v>
      </c>
      <c r="M9119" t="n">
        <v>0</v>
      </c>
      <c r="N9119" t="n">
        <v>0</v>
      </c>
      <c r="O9119" t="n">
        <v>0</v>
      </c>
      <c r="P9119" t="n">
        <v>0</v>
      </c>
      <c r="Q9119" t="n">
        <v>0</v>
      </c>
      <c r="R9119" s="2" t="inlineStr"/>
    </row>
    <row r="9120" ht="15" customHeight="1">
      <c r="A9120" t="inlineStr">
        <is>
          <t>A 6628-2021</t>
        </is>
      </c>
      <c r="B9120" s="1" t="n">
        <v>44236</v>
      </c>
      <c r="C9120" s="1" t="n">
        <v>46011</v>
      </c>
      <c r="D9120" t="inlineStr">
        <is>
          <t>VÄSTRA GÖTALANDS LÄN</t>
        </is>
      </c>
      <c r="E9120" t="inlineStr">
        <is>
          <t>HERRLJUNGA</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51895-2025</t>
        </is>
      </c>
      <c r="B9121" s="1" t="n">
        <v>45952.4318287037</v>
      </c>
      <c r="C9121" s="1" t="n">
        <v>46011</v>
      </c>
      <c r="D9121" t="inlineStr">
        <is>
          <t>VÄSTRA GÖTALANDS LÄN</t>
        </is>
      </c>
      <c r="E9121" t="inlineStr">
        <is>
          <t>ULRICEHAMN</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52952-2021</t>
        </is>
      </c>
      <c r="B9122" s="1" t="n">
        <v>44467.5972337963</v>
      </c>
      <c r="C9122" s="1" t="n">
        <v>46011</v>
      </c>
      <c r="D9122" t="inlineStr">
        <is>
          <t>VÄSTRA GÖTALANDS LÄN</t>
        </is>
      </c>
      <c r="E9122" t="inlineStr">
        <is>
          <t>STENUNGSUND</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50401-2021</t>
        </is>
      </c>
      <c r="B9123" s="1" t="n">
        <v>44459</v>
      </c>
      <c r="C9123" s="1" t="n">
        <v>46011</v>
      </c>
      <c r="D9123" t="inlineStr">
        <is>
          <t>VÄSTRA GÖTALANDS LÄN</t>
        </is>
      </c>
      <c r="E9123" t="inlineStr">
        <is>
          <t>STRÖMSTAD</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51973-2025</t>
        </is>
      </c>
      <c r="B9124" s="1" t="n">
        <v>45952.55898148148</v>
      </c>
      <c r="C9124" s="1" t="n">
        <v>46011</v>
      </c>
      <c r="D9124" t="inlineStr">
        <is>
          <t>VÄSTRA GÖTALANDS LÄN</t>
        </is>
      </c>
      <c r="E9124" t="inlineStr">
        <is>
          <t>HERRLJUNGA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51976-2025</t>
        </is>
      </c>
      <c r="B9125" s="1" t="n">
        <v>45952.56412037037</v>
      </c>
      <c r="C9125" s="1" t="n">
        <v>46011</v>
      </c>
      <c r="D9125" t="inlineStr">
        <is>
          <t>VÄSTRA GÖTALANDS LÄN</t>
        </is>
      </c>
      <c r="E9125" t="inlineStr">
        <is>
          <t>ALE</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51978-2025</t>
        </is>
      </c>
      <c r="B9126" s="1" t="n">
        <v>45952.56828703704</v>
      </c>
      <c r="C9126" s="1" t="n">
        <v>46011</v>
      </c>
      <c r="D9126" t="inlineStr">
        <is>
          <t>VÄSTRA GÖTALANDS LÄN</t>
        </is>
      </c>
      <c r="E9126" t="inlineStr">
        <is>
          <t>HERRLJUNGA</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15057-2025</t>
        </is>
      </c>
      <c r="B9127" s="1" t="n">
        <v>45743.70525462963</v>
      </c>
      <c r="C9127" s="1" t="n">
        <v>46011</v>
      </c>
      <c r="D9127" t="inlineStr">
        <is>
          <t>VÄSTRA GÖTALANDS LÄN</t>
        </is>
      </c>
      <c r="E9127" t="inlineStr">
        <is>
          <t>BENGTSFORS</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15090-2025</t>
        </is>
      </c>
      <c r="B9128" s="1" t="n">
        <v>45744.32737268518</v>
      </c>
      <c r="C9128" s="1" t="n">
        <v>46011</v>
      </c>
      <c r="D9128" t="inlineStr">
        <is>
          <t>VÄSTRA GÖTALANDS LÄN</t>
        </is>
      </c>
      <c r="E9128" t="inlineStr">
        <is>
          <t>TIDAHOLM</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59902-2025</t>
        </is>
      </c>
      <c r="B9129" s="1" t="n">
        <v>45993.34480324074</v>
      </c>
      <c r="C9129" s="1" t="n">
        <v>46011</v>
      </c>
      <c r="D9129" t="inlineStr">
        <is>
          <t>VÄSTRA GÖTALANDS LÄN</t>
        </is>
      </c>
      <c r="E9129" t="inlineStr">
        <is>
          <t>STRÖMSTAD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59920-2025</t>
        </is>
      </c>
      <c r="B9130" s="1" t="n">
        <v>45993.37996527777</v>
      </c>
      <c r="C9130" s="1" t="n">
        <v>46011</v>
      </c>
      <c r="D9130" t="inlineStr">
        <is>
          <t>VÄSTRA GÖTALANDS LÄN</t>
        </is>
      </c>
      <c r="E9130" t="inlineStr">
        <is>
          <t>MUNKEDAL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59921-2025</t>
        </is>
      </c>
      <c r="B9131" s="1" t="n">
        <v>45993.38215277778</v>
      </c>
      <c r="C9131" s="1" t="n">
        <v>46011</v>
      </c>
      <c r="D9131" t="inlineStr">
        <is>
          <t>VÄSTRA GÖTALANDS LÄN</t>
        </is>
      </c>
      <c r="E9131" t="inlineStr">
        <is>
          <t>DALS-ED</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15378-2025</t>
        </is>
      </c>
      <c r="B9132" s="1" t="n">
        <v>45747.40732638889</v>
      </c>
      <c r="C9132" s="1" t="n">
        <v>46011</v>
      </c>
      <c r="D9132" t="inlineStr">
        <is>
          <t>VÄSTRA GÖTALANDS LÄN</t>
        </is>
      </c>
      <c r="E9132" t="inlineStr">
        <is>
          <t>SVENLJUNGA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51966-2025</t>
        </is>
      </c>
      <c r="B9133" s="1" t="n">
        <v>45952.55336805555</v>
      </c>
      <c r="C9133" s="1" t="n">
        <v>46011</v>
      </c>
      <c r="D9133" t="inlineStr">
        <is>
          <t>VÄSTRA GÖTALANDS LÄN</t>
        </is>
      </c>
      <c r="E9133" t="inlineStr">
        <is>
          <t>TANUM</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36018-2025</t>
        </is>
      </c>
      <c r="B9134" s="1" t="n">
        <v>45863.66916666667</v>
      </c>
      <c r="C9134" s="1" t="n">
        <v>46011</v>
      </c>
      <c r="D9134" t="inlineStr">
        <is>
          <t>VÄSTRA GÖTALANDS LÄN</t>
        </is>
      </c>
      <c r="E9134" t="inlineStr">
        <is>
          <t>STENUNGSUND</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50239-2022</t>
        </is>
      </c>
      <c r="B9135" s="1" t="n">
        <v>44865</v>
      </c>
      <c r="C9135" s="1" t="n">
        <v>46011</v>
      </c>
      <c r="D9135" t="inlineStr">
        <is>
          <t>VÄSTRA GÖTALANDS LÄN</t>
        </is>
      </c>
      <c r="E9135" t="inlineStr">
        <is>
          <t>SOTENÄS</t>
        </is>
      </c>
      <c r="G9135" t="n">
        <v>13.2</v>
      </c>
      <c r="H9135" t="n">
        <v>0</v>
      </c>
      <c r="I9135" t="n">
        <v>0</v>
      </c>
      <c r="J9135" t="n">
        <v>0</v>
      </c>
      <c r="K9135" t="n">
        <v>0</v>
      </c>
      <c r="L9135" t="n">
        <v>0</v>
      </c>
      <c r="M9135" t="n">
        <v>0</v>
      </c>
      <c r="N9135" t="n">
        <v>0</v>
      </c>
      <c r="O9135" t="n">
        <v>0</v>
      </c>
      <c r="P9135" t="n">
        <v>0</v>
      </c>
      <c r="Q9135" t="n">
        <v>0</v>
      </c>
      <c r="R9135" s="2" t="inlineStr"/>
    </row>
    <row r="9136" ht="15" customHeight="1">
      <c r="A9136" t="inlineStr">
        <is>
          <t>A 51613-2025</t>
        </is>
      </c>
      <c r="B9136" s="1" t="n">
        <v>45951.39907407408</v>
      </c>
      <c r="C9136" s="1" t="n">
        <v>46011</v>
      </c>
      <c r="D9136" t="inlineStr">
        <is>
          <t>VÄSTRA GÖTALANDS LÄN</t>
        </is>
      </c>
      <c r="E9136" t="inlineStr">
        <is>
          <t>BOLLEBYGD</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23551-2023</t>
        </is>
      </c>
      <c r="B9137" s="1" t="n">
        <v>45077</v>
      </c>
      <c r="C9137" s="1" t="n">
        <v>46011</v>
      </c>
      <c r="D9137" t="inlineStr">
        <is>
          <t>VÄSTRA GÖTALANDS LÄN</t>
        </is>
      </c>
      <c r="E9137" t="inlineStr">
        <is>
          <t>HERRLJUNGA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60204-2025</t>
        </is>
      </c>
      <c r="B9138" s="1" t="n">
        <v>45994.49568287037</v>
      </c>
      <c r="C9138" s="1" t="n">
        <v>46011</v>
      </c>
      <c r="D9138" t="inlineStr">
        <is>
          <t>VÄSTRA GÖTALANDS LÄN</t>
        </is>
      </c>
      <c r="E9138" t="inlineStr">
        <is>
          <t>BORÅS</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67916-2021</t>
        </is>
      </c>
      <c r="B9139" s="1" t="n">
        <v>44525.60467592593</v>
      </c>
      <c r="C9139" s="1" t="n">
        <v>46011</v>
      </c>
      <c r="D9139" t="inlineStr">
        <is>
          <t>VÄSTRA GÖTALANDS LÄN</t>
        </is>
      </c>
      <c r="E9139" t="inlineStr">
        <is>
          <t>BENGTSFORS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51696-2025</t>
        </is>
      </c>
      <c r="B9140" s="1" t="n">
        <v>45951.55111111111</v>
      </c>
      <c r="C9140" s="1" t="n">
        <v>46011</v>
      </c>
      <c r="D9140" t="inlineStr">
        <is>
          <t>VÄSTRA GÖTALANDS LÄN</t>
        </is>
      </c>
      <c r="E9140" t="inlineStr">
        <is>
          <t>TANUM</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15864-2023</t>
        </is>
      </c>
      <c r="B9141" s="1" t="n">
        <v>45022.38005787037</v>
      </c>
      <c r="C9141" s="1" t="n">
        <v>46011</v>
      </c>
      <c r="D9141" t="inlineStr">
        <is>
          <t>VÄSTRA GÖTALANDS LÄN</t>
        </is>
      </c>
      <c r="E9141" t="inlineStr">
        <is>
          <t>MARK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29665-2023</t>
        </is>
      </c>
      <c r="B9142" s="1" t="n">
        <v>45107.32079861111</v>
      </c>
      <c r="C9142" s="1" t="n">
        <v>46011</v>
      </c>
      <c r="D9142" t="inlineStr">
        <is>
          <t>VÄSTRA GÖTALANDS LÄN</t>
        </is>
      </c>
      <c r="E9142" t="inlineStr">
        <is>
          <t>MARK</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53426-2022</t>
        </is>
      </c>
      <c r="B9143" s="1" t="n">
        <v>44879</v>
      </c>
      <c r="C9143" s="1" t="n">
        <v>46011</v>
      </c>
      <c r="D9143" t="inlineStr">
        <is>
          <t>VÄSTRA GÖTALANDS LÄN</t>
        </is>
      </c>
      <c r="E9143" t="inlineStr">
        <is>
          <t>TROLLHÄTTAN</t>
        </is>
      </c>
      <c r="G9143" t="n">
        <v>13.2</v>
      </c>
      <c r="H9143" t="n">
        <v>0</v>
      </c>
      <c r="I9143" t="n">
        <v>0</v>
      </c>
      <c r="J9143" t="n">
        <v>0</v>
      </c>
      <c r="K9143" t="n">
        <v>0</v>
      </c>
      <c r="L9143" t="n">
        <v>0</v>
      </c>
      <c r="M9143" t="n">
        <v>0</v>
      </c>
      <c r="N9143" t="n">
        <v>0</v>
      </c>
      <c r="O9143" t="n">
        <v>0</v>
      </c>
      <c r="P9143" t="n">
        <v>0</v>
      </c>
      <c r="Q9143" t="n">
        <v>0</v>
      </c>
      <c r="R9143" s="2" t="inlineStr"/>
    </row>
    <row r="9144" ht="15" customHeight="1">
      <c r="A9144" t="inlineStr">
        <is>
          <t>A 20570-2023</t>
        </is>
      </c>
      <c r="B9144" s="1" t="n">
        <v>45057</v>
      </c>
      <c r="C9144" s="1" t="n">
        <v>46011</v>
      </c>
      <c r="D9144" t="inlineStr">
        <is>
          <t>VÄSTRA GÖTALANDS LÄN</t>
        </is>
      </c>
      <c r="E9144" t="inlineStr">
        <is>
          <t>LERUM</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17789-2025</t>
        </is>
      </c>
      <c r="B9145" s="1" t="n">
        <v>45758.54153935185</v>
      </c>
      <c r="C9145" s="1" t="n">
        <v>46011</v>
      </c>
      <c r="D9145" t="inlineStr">
        <is>
          <t>VÄSTRA GÖTALANDS LÄN</t>
        </is>
      </c>
      <c r="E9145" t="inlineStr">
        <is>
          <t>BENGTSFORS</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60159-2025</t>
        </is>
      </c>
      <c r="B9146" s="1" t="n">
        <v>45994.42839120371</v>
      </c>
      <c r="C9146" s="1" t="n">
        <v>46011</v>
      </c>
      <c r="D9146" t="inlineStr">
        <is>
          <t>VÄSTRA GÖTALANDS LÄN</t>
        </is>
      </c>
      <c r="E9146" t="inlineStr">
        <is>
          <t>ULRICEHAMN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60165-2025</t>
        </is>
      </c>
      <c r="B9147" s="1" t="n">
        <v>45994.4335300926</v>
      </c>
      <c r="C9147" s="1" t="n">
        <v>46011</v>
      </c>
      <c r="D9147" t="inlineStr">
        <is>
          <t>VÄSTRA GÖTALANDS LÄN</t>
        </is>
      </c>
      <c r="E9147" t="inlineStr">
        <is>
          <t>ULRICEHAMN</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60179-2025</t>
        </is>
      </c>
      <c r="B9148" s="1" t="n">
        <v>45994.45789351852</v>
      </c>
      <c r="C9148" s="1" t="n">
        <v>46011</v>
      </c>
      <c r="D9148" t="inlineStr">
        <is>
          <t>VÄSTRA GÖTALANDS LÄN</t>
        </is>
      </c>
      <c r="E9148" t="inlineStr">
        <is>
          <t>ULRICEHAMN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22722-2023</t>
        </is>
      </c>
      <c r="B9149" s="1" t="n">
        <v>45071.85158564815</v>
      </c>
      <c r="C9149" s="1" t="n">
        <v>46011</v>
      </c>
      <c r="D9149" t="inlineStr">
        <is>
          <t>VÄSTRA GÖTALANDS LÄN</t>
        </is>
      </c>
      <c r="E9149" t="inlineStr">
        <is>
          <t>FÄRGELANDA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60095-2025</t>
        </is>
      </c>
      <c r="B9150" s="1" t="n">
        <v>45993.7368287037</v>
      </c>
      <c r="C9150" s="1" t="n">
        <v>46011</v>
      </c>
      <c r="D9150" t="inlineStr">
        <is>
          <t>VÄSTRA GÖTALANDS LÄN</t>
        </is>
      </c>
      <c r="E9150" t="inlineStr">
        <is>
          <t>VÄNERSBORG</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52083-2025</t>
        </is>
      </c>
      <c r="B9151" s="1" t="n">
        <v>45952.66685185185</v>
      </c>
      <c r="C9151" s="1" t="n">
        <v>46011</v>
      </c>
      <c r="D9151" t="inlineStr">
        <is>
          <t>VÄSTRA GÖTALANDS LÄN</t>
        </is>
      </c>
      <c r="E9151" t="inlineStr">
        <is>
          <t>BORÅS</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57720-2023</t>
        </is>
      </c>
      <c r="B9152" s="1" t="n">
        <v>45246</v>
      </c>
      <c r="C9152" s="1" t="n">
        <v>46011</v>
      </c>
      <c r="D9152" t="inlineStr">
        <is>
          <t>VÄSTRA GÖTALANDS LÄN</t>
        </is>
      </c>
      <c r="E9152" t="inlineStr">
        <is>
          <t>ÅMÅL</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70758-2021</t>
        </is>
      </c>
      <c r="B9153" s="1" t="n">
        <v>44537</v>
      </c>
      <c r="C9153" s="1" t="n">
        <v>46011</v>
      </c>
      <c r="D9153" t="inlineStr">
        <is>
          <t>VÄSTRA GÖTALANDS LÄN</t>
        </is>
      </c>
      <c r="E9153" t="inlineStr">
        <is>
          <t>TRANEMO</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23598-2023</t>
        </is>
      </c>
      <c r="B9154" s="1" t="n">
        <v>45072</v>
      </c>
      <c r="C9154" s="1" t="n">
        <v>46011</v>
      </c>
      <c r="D9154" t="inlineStr">
        <is>
          <t>VÄSTRA GÖTALANDS LÄN</t>
        </is>
      </c>
      <c r="E9154" t="inlineStr">
        <is>
          <t>MUNKEDAL</t>
        </is>
      </c>
      <c r="F9154" t="inlineStr">
        <is>
          <t>Kommuner</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60033-2025</t>
        </is>
      </c>
      <c r="B9155" s="1" t="n">
        <v>45993.61361111111</v>
      </c>
      <c r="C9155" s="1" t="n">
        <v>46011</v>
      </c>
      <c r="D9155" t="inlineStr">
        <is>
          <t>VÄSTRA GÖTALANDS LÄN</t>
        </is>
      </c>
      <c r="E9155" t="inlineStr">
        <is>
          <t>SVENLJUNGA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31833-2024</t>
        </is>
      </c>
      <c r="B9156" s="1" t="n">
        <v>45509.64240740741</v>
      </c>
      <c r="C9156" s="1" t="n">
        <v>46011</v>
      </c>
      <c r="D9156" t="inlineStr">
        <is>
          <t>VÄSTRA GÖTALANDS LÄN</t>
        </is>
      </c>
      <c r="E9156" t="inlineStr">
        <is>
          <t>GULLSPÅNG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60334-2025</t>
        </is>
      </c>
      <c r="B9157" s="1" t="n">
        <v>45994.76167824074</v>
      </c>
      <c r="C9157" s="1" t="n">
        <v>46011</v>
      </c>
      <c r="D9157" t="inlineStr">
        <is>
          <t>VÄSTRA GÖTALANDS LÄN</t>
        </is>
      </c>
      <c r="E9157" t="inlineStr">
        <is>
          <t>HÄRRYDA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60177-2025</t>
        </is>
      </c>
      <c r="B9158" s="1" t="n">
        <v>45994.45475694445</v>
      </c>
      <c r="C9158" s="1" t="n">
        <v>46011</v>
      </c>
      <c r="D9158" t="inlineStr">
        <is>
          <t>VÄSTRA GÖTALANDS LÄN</t>
        </is>
      </c>
      <c r="E9158" t="inlineStr">
        <is>
          <t>DALS-ED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60198-2025</t>
        </is>
      </c>
      <c r="B9159" s="1" t="n">
        <v>45994.48840277778</v>
      </c>
      <c r="C9159" s="1" t="n">
        <v>46011</v>
      </c>
      <c r="D9159" t="inlineStr">
        <is>
          <t>VÄSTRA GÖTALANDS LÄN</t>
        </is>
      </c>
      <c r="E9159" t="inlineStr">
        <is>
          <t>DALS-ED</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60244-2025</t>
        </is>
      </c>
      <c r="B9160" s="1" t="n">
        <v>45994.58803240741</v>
      </c>
      <c r="C9160" s="1" t="n">
        <v>46011</v>
      </c>
      <c r="D9160" t="inlineStr">
        <is>
          <t>VÄSTRA GÖTALANDS LÄN</t>
        </is>
      </c>
      <c r="E9160" t="inlineStr">
        <is>
          <t>FÄRGELANDA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60274-2025</t>
        </is>
      </c>
      <c r="B9161" s="1" t="n">
        <v>45994.63263888889</v>
      </c>
      <c r="C9161" s="1" t="n">
        <v>46011</v>
      </c>
      <c r="D9161" t="inlineStr">
        <is>
          <t>VÄSTRA GÖTALANDS LÄN</t>
        </is>
      </c>
      <c r="E9161" t="inlineStr">
        <is>
          <t>FALKÖPING</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60313-2025</t>
        </is>
      </c>
      <c r="B9162" s="1" t="n">
        <v>45994.70210648148</v>
      </c>
      <c r="C9162" s="1" t="n">
        <v>46011</v>
      </c>
      <c r="D9162" t="inlineStr">
        <is>
          <t>VÄSTRA GÖTALANDS LÄN</t>
        </is>
      </c>
      <c r="E9162" t="inlineStr">
        <is>
          <t>BENGTSFORS</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41005-2021</t>
        </is>
      </c>
      <c r="B9163" s="1" t="n">
        <v>44421.61880787037</v>
      </c>
      <c r="C9163" s="1" t="n">
        <v>46011</v>
      </c>
      <c r="D9163" t="inlineStr">
        <is>
          <t>VÄSTRA GÖTALANDS LÄN</t>
        </is>
      </c>
      <c r="E9163" t="inlineStr">
        <is>
          <t>ULRICEHAMN</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6723-2025</t>
        </is>
      </c>
      <c r="B9164" s="1" t="n">
        <v>45700.58284722222</v>
      </c>
      <c r="C9164" s="1" t="n">
        <v>46011</v>
      </c>
      <c r="D9164" t="inlineStr">
        <is>
          <t>VÄSTRA GÖTALANDS LÄN</t>
        </is>
      </c>
      <c r="E9164" t="inlineStr">
        <is>
          <t>MUNKEDAL</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9795-2025</t>
        </is>
      </c>
      <c r="B9165" s="1" t="n">
        <v>45716.55226851852</v>
      </c>
      <c r="C9165" s="1" t="n">
        <v>46011</v>
      </c>
      <c r="D9165" t="inlineStr">
        <is>
          <t>VÄSTRA GÖTALANDS LÄN</t>
        </is>
      </c>
      <c r="E9165" t="inlineStr">
        <is>
          <t>MARIESTAD</t>
        </is>
      </c>
      <c r="F9165" t="inlineStr">
        <is>
          <t>Kyrkan</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18715-2023</t>
        </is>
      </c>
      <c r="B9166" s="1" t="n">
        <v>45043.65006944445</v>
      </c>
      <c r="C9166" s="1" t="n">
        <v>46011</v>
      </c>
      <c r="D9166" t="inlineStr">
        <is>
          <t>VÄSTRA GÖTALANDS LÄN</t>
        </is>
      </c>
      <c r="E9166" t="inlineStr">
        <is>
          <t>VÄNERSBORG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60293-2025</t>
        </is>
      </c>
      <c r="B9167" s="1" t="n">
        <v>45994.65568287037</v>
      </c>
      <c r="C9167" s="1" t="n">
        <v>46011</v>
      </c>
      <c r="D9167" t="inlineStr">
        <is>
          <t>VÄSTRA GÖTALANDS LÄN</t>
        </is>
      </c>
      <c r="E9167" t="inlineStr">
        <is>
          <t>ALE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54514-2021</t>
        </is>
      </c>
      <c r="B9168" s="1" t="n">
        <v>44473</v>
      </c>
      <c r="C9168" s="1" t="n">
        <v>46011</v>
      </c>
      <c r="D9168" t="inlineStr">
        <is>
          <t>VÄSTRA GÖTALANDS LÄN</t>
        </is>
      </c>
      <c r="E9168" t="inlineStr">
        <is>
          <t>ESSUNGA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50623-2025</t>
        </is>
      </c>
      <c r="B9169" s="1" t="n">
        <v>45944</v>
      </c>
      <c r="C9169" s="1" t="n">
        <v>46011</v>
      </c>
      <c r="D9169" t="inlineStr">
        <is>
          <t>VÄSTRA GÖTALANDS LÄN</t>
        </is>
      </c>
      <c r="E9169" t="inlineStr">
        <is>
          <t>TIDAHOLM</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16452-2025</t>
        </is>
      </c>
      <c r="B9170" s="1" t="n">
        <v>45751.51493055555</v>
      </c>
      <c r="C9170" s="1" t="n">
        <v>46011</v>
      </c>
      <c r="D9170" t="inlineStr">
        <is>
          <t>VÄSTRA GÖTALANDS LÄN</t>
        </is>
      </c>
      <c r="E9170" t="inlineStr">
        <is>
          <t>VÄNERSBORG</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51687-2025</t>
        </is>
      </c>
      <c r="B9171" s="1" t="n">
        <v>45951.52353009259</v>
      </c>
      <c r="C9171" s="1" t="n">
        <v>46011</v>
      </c>
      <c r="D9171" t="inlineStr">
        <is>
          <t>VÄSTRA GÖTALANDS LÄN</t>
        </is>
      </c>
      <c r="E9171" t="inlineStr">
        <is>
          <t>TANUM</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51692-2025</t>
        </is>
      </c>
      <c r="B9172" s="1" t="n">
        <v>45951.53870370371</v>
      </c>
      <c r="C9172" s="1" t="n">
        <v>46011</v>
      </c>
      <c r="D9172" t="inlineStr">
        <is>
          <t>VÄSTRA GÖTALANDS LÄN</t>
        </is>
      </c>
      <c r="E9172" t="inlineStr">
        <is>
          <t>TANUM</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51743-2025</t>
        </is>
      </c>
      <c r="B9173" s="1" t="n">
        <v>45951.60899305555</v>
      </c>
      <c r="C9173" s="1" t="n">
        <v>46011</v>
      </c>
      <c r="D9173" t="inlineStr">
        <is>
          <t>VÄSTRA GÖTALANDS LÄN</t>
        </is>
      </c>
      <c r="E9173" t="inlineStr">
        <is>
          <t>BENGTSFORS</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62266-2022</t>
        </is>
      </c>
      <c r="B9174" s="1" t="n">
        <v>44923.3334375</v>
      </c>
      <c r="C9174" s="1" t="n">
        <v>46011</v>
      </c>
      <c r="D9174" t="inlineStr">
        <is>
          <t>VÄSTRA GÖTALANDS LÄN</t>
        </is>
      </c>
      <c r="E9174" t="inlineStr">
        <is>
          <t>TROLLHÄTTAN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60264-2025</t>
        </is>
      </c>
      <c r="B9175" s="1" t="n">
        <v>45994.61616898148</v>
      </c>
      <c r="C9175" s="1" t="n">
        <v>46011</v>
      </c>
      <c r="D9175" t="inlineStr">
        <is>
          <t>VÄSTRA GÖTALANDS LÄN</t>
        </is>
      </c>
      <c r="E9175" t="inlineStr">
        <is>
          <t>TRANEMO</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61642-2022</t>
        </is>
      </c>
      <c r="B9176" s="1" t="n">
        <v>44916</v>
      </c>
      <c r="C9176" s="1" t="n">
        <v>46011</v>
      </c>
      <c r="D9176" t="inlineStr">
        <is>
          <t>VÄSTRA GÖTALANDS LÄN</t>
        </is>
      </c>
      <c r="E9176" t="inlineStr">
        <is>
          <t>FÄRGELANDA</t>
        </is>
      </c>
      <c r="G9176" t="n">
        <v>9.4</v>
      </c>
      <c r="H9176" t="n">
        <v>0</v>
      </c>
      <c r="I9176" t="n">
        <v>0</v>
      </c>
      <c r="J9176" t="n">
        <v>0</v>
      </c>
      <c r="K9176" t="n">
        <v>0</v>
      </c>
      <c r="L9176" t="n">
        <v>0</v>
      </c>
      <c r="M9176" t="n">
        <v>0</v>
      </c>
      <c r="N9176" t="n">
        <v>0</v>
      </c>
      <c r="O9176" t="n">
        <v>0</v>
      </c>
      <c r="P9176" t="n">
        <v>0</v>
      </c>
      <c r="Q9176" t="n">
        <v>0</v>
      </c>
      <c r="R9176" s="2" t="inlineStr"/>
    </row>
    <row r="9177" ht="15" customHeight="1">
      <c r="A9177" t="inlineStr">
        <is>
          <t>A 33921-2022</t>
        </is>
      </c>
      <c r="B9177" s="1" t="n">
        <v>44790</v>
      </c>
      <c r="C9177" s="1" t="n">
        <v>46011</v>
      </c>
      <c r="D9177" t="inlineStr">
        <is>
          <t>VÄSTRA GÖTALANDS LÄN</t>
        </is>
      </c>
      <c r="E9177" t="inlineStr">
        <is>
          <t>HERRLJUNGA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16541-2025</t>
        </is>
      </c>
      <c r="B9178" s="1" t="n">
        <v>45751.66748842593</v>
      </c>
      <c r="C9178" s="1" t="n">
        <v>46011</v>
      </c>
      <c r="D9178" t="inlineStr">
        <is>
          <t>VÄSTRA GÖTALANDS LÄN</t>
        </is>
      </c>
      <c r="E9178" t="inlineStr">
        <is>
          <t>MARK</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669-2023</t>
        </is>
      </c>
      <c r="B9179" s="1" t="n">
        <v>44930</v>
      </c>
      <c r="C9179" s="1" t="n">
        <v>46011</v>
      </c>
      <c r="D9179" t="inlineStr">
        <is>
          <t>VÄSTRA GÖTALANDS LÄN</t>
        </is>
      </c>
      <c r="E9179" t="inlineStr">
        <is>
          <t>BENGTSFORS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60273-2025</t>
        </is>
      </c>
      <c r="B9180" s="1" t="n">
        <v>45994.62958333334</v>
      </c>
      <c r="C9180" s="1" t="n">
        <v>46011</v>
      </c>
      <c r="D9180" t="inlineStr">
        <is>
          <t>VÄSTRA GÖTALANDS LÄN</t>
        </is>
      </c>
      <c r="E9180" t="inlineStr">
        <is>
          <t>FALKÖPING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60312-2025</t>
        </is>
      </c>
      <c r="B9181" s="1" t="n">
        <v>45994.69363425926</v>
      </c>
      <c r="C9181" s="1" t="n">
        <v>46011</v>
      </c>
      <c r="D9181" t="inlineStr">
        <is>
          <t>VÄSTRA GÖTALANDS LÄN</t>
        </is>
      </c>
      <c r="E9181" t="inlineStr">
        <is>
          <t>BENGTSFORS</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60324-2025</t>
        </is>
      </c>
      <c r="B9182" s="1" t="n">
        <v>45994.72671296296</v>
      </c>
      <c r="C9182" s="1" t="n">
        <v>46011</v>
      </c>
      <c r="D9182" t="inlineStr">
        <is>
          <t>VÄSTRA GÖTALANDS LÄN</t>
        </is>
      </c>
      <c r="E9182" t="inlineStr">
        <is>
          <t>BENGTSFORS</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51816-2025</t>
        </is>
      </c>
      <c r="B9183" s="1" t="n">
        <v>45951.85037037037</v>
      </c>
      <c r="C9183" s="1" t="n">
        <v>46011</v>
      </c>
      <c r="D9183" t="inlineStr">
        <is>
          <t>VÄSTRA GÖTALANDS LÄN</t>
        </is>
      </c>
      <c r="E9183" t="inlineStr">
        <is>
          <t>DALS-ED</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51818-2025</t>
        </is>
      </c>
      <c r="B9184" s="1" t="n">
        <v>45951.88065972222</v>
      </c>
      <c r="C9184" s="1" t="n">
        <v>46011</v>
      </c>
      <c r="D9184" t="inlineStr">
        <is>
          <t>VÄSTRA GÖTALANDS LÄN</t>
        </is>
      </c>
      <c r="E9184" t="inlineStr">
        <is>
          <t>DALS-ED</t>
        </is>
      </c>
      <c r="F9184" t="inlineStr">
        <is>
          <t>Kyrkan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47675-2023</t>
        </is>
      </c>
      <c r="B9185" s="1" t="n">
        <v>45203</v>
      </c>
      <c r="C9185" s="1" t="n">
        <v>46011</v>
      </c>
      <c r="D9185" t="inlineStr">
        <is>
          <t>VÄSTRA GÖTALANDS LÄN</t>
        </is>
      </c>
      <c r="E9185" t="inlineStr">
        <is>
          <t>MUNKEDAL</t>
        </is>
      </c>
      <c r="G9185" t="n">
        <v>14.1</v>
      </c>
      <c r="H9185" t="n">
        <v>0</v>
      </c>
      <c r="I9185" t="n">
        <v>0</v>
      </c>
      <c r="J9185" t="n">
        <v>0</v>
      </c>
      <c r="K9185" t="n">
        <v>0</v>
      </c>
      <c r="L9185" t="n">
        <v>0</v>
      </c>
      <c r="M9185" t="n">
        <v>0</v>
      </c>
      <c r="N9185" t="n">
        <v>0</v>
      </c>
      <c r="O9185" t="n">
        <v>0</v>
      </c>
      <c r="P9185" t="n">
        <v>0</v>
      </c>
      <c r="Q9185" t="n">
        <v>0</v>
      </c>
      <c r="R9185" s="2" t="inlineStr"/>
    </row>
    <row r="9186" ht="15" customHeight="1">
      <c r="A9186" t="inlineStr">
        <is>
          <t>A 46382-2023</t>
        </is>
      </c>
      <c r="B9186" s="1" t="n">
        <v>45197.4696412037</v>
      </c>
      <c r="C9186" s="1" t="n">
        <v>46011</v>
      </c>
      <c r="D9186" t="inlineStr">
        <is>
          <t>VÄSTRA GÖTALANDS LÄN</t>
        </is>
      </c>
      <c r="E9186" t="inlineStr">
        <is>
          <t>BORÅS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48257-2022</t>
        </is>
      </c>
      <c r="B9187" s="1" t="n">
        <v>44858.47591435185</v>
      </c>
      <c r="C9187" s="1" t="n">
        <v>46011</v>
      </c>
      <c r="D9187" t="inlineStr">
        <is>
          <t>VÄSTRA GÖTALANDS LÄN</t>
        </is>
      </c>
      <c r="E9187" t="inlineStr">
        <is>
          <t>ALE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49132-2025</t>
        </is>
      </c>
      <c r="B9188" s="1" t="n">
        <v>45937</v>
      </c>
      <c r="C9188" s="1" t="n">
        <v>46011</v>
      </c>
      <c r="D9188" t="inlineStr">
        <is>
          <t>VÄSTRA GÖTALANDS LÄN</t>
        </is>
      </c>
      <c r="E9188" t="inlineStr">
        <is>
          <t>BENGTSFORS</t>
        </is>
      </c>
      <c r="G9188" t="n">
        <v>12.4</v>
      </c>
      <c r="H9188" t="n">
        <v>0</v>
      </c>
      <c r="I9188" t="n">
        <v>0</v>
      </c>
      <c r="J9188" t="n">
        <v>0</v>
      </c>
      <c r="K9188" t="n">
        <v>0</v>
      </c>
      <c r="L9188" t="n">
        <v>0</v>
      </c>
      <c r="M9188" t="n">
        <v>0</v>
      </c>
      <c r="N9188" t="n">
        <v>0</v>
      </c>
      <c r="O9188" t="n">
        <v>0</v>
      </c>
      <c r="P9188" t="n">
        <v>0</v>
      </c>
      <c r="Q9188" t="n">
        <v>0</v>
      </c>
      <c r="R9188" s="2" t="inlineStr"/>
    </row>
    <row r="9189" ht="15" customHeight="1">
      <c r="A9189" t="inlineStr">
        <is>
          <t>A 51682-2025</t>
        </is>
      </c>
      <c r="B9189" s="1" t="n">
        <v>45951.51880787037</v>
      </c>
      <c r="C9189" s="1" t="n">
        <v>46011</v>
      </c>
      <c r="D9189" t="inlineStr">
        <is>
          <t>VÄSTRA GÖTALANDS LÄN</t>
        </is>
      </c>
      <c r="E9189" t="inlineStr">
        <is>
          <t>ULRICEHAMN</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41013-2023</t>
        </is>
      </c>
      <c r="B9190" s="1" t="n">
        <v>45169</v>
      </c>
      <c r="C9190" s="1" t="n">
        <v>46011</v>
      </c>
      <c r="D9190" t="inlineStr">
        <is>
          <t>VÄSTRA GÖTALANDS LÄN</t>
        </is>
      </c>
      <c r="E9190" t="inlineStr">
        <is>
          <t>ÅMÅL</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51840-2025</t>
        </is>
      </c>
      <c r="B9191" s="1" t="n">
        <v>45952.34476851852</v>
      </c>
      <c r="C9191" s="1" t="n">
        <v>46011</v>
      </c>
      <c r="D9191" t="inlineStr">
        <is>
          <t>VÄSTRA GÖTALANDS LÄN</t>
        </is>
      </c>
      <c r="E9191" t="inlineStr">
        <is>
          <t>SVENLJUNGA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2264-2025</t>
        </is>
      </c>
      <c r="B9192" s="1" t="n">
        <v>45673.52872685185</v>
      </c>
      <c r="C9192" s="1" t="n">
        <v>46011</v>
      </c>
      <c r="D9192" t="inlineStr">
        <is>
          <t>VÄSTRA GÖTALANDS LÄN</t>
        </is>
      </c>
      <c r="E9192" t="inlineStr">
        <is>
          <t>GRÄSTORP</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2284-2025</t>
        </is>
      </c>
      <c r="B9193" s="1" t="n">
        <v>45673.57069444445</v>
      </c>
      <c r="C9193" s="1" t="n">
        <v>46011</v>
      </c>
      <c r="D9193" t="inlineStr">
        <is>
          <t>VÄSTRA GÖTALANDS LÄN</t>
        </is>
      </c>
      <c r="E9193" t="inlineStr">
        <is>
          <t>BORÅS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51843-2025</t>
        </is>
      </c>
      <c r="B9194" s="1" t="n">
        <v>45952.34613425926</v>
      </c>
      <c r="C9194" s="1" t="n">
        <v>46011</v>
      </c>
      <c r="D9194" t="inlineStr">
        <is>
          <t>VÄSTRA GÖTALANDS LÄN</t>
        </is>
      </c>
      <c r="E9194" t="inlineStr">
        <is>
          <t>SVENLJUNGA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51879-2025</t>
        </is>
      </c>
      <c r="B9195" s="1" t="n">
        <v>45952.40320601852</v>
      </c>
      <c r="C9195" s="1" t="n">
        <v>46011</v>
      </c>
      <c r="D9195" t="inlineStr">
        <is>
          <t>VÄSTRA GÖTALANDS LÄN</t>
        </is>
      </c>
      <c r="E9195" t="inlineStr">
        <is>
          <t>TÖREBODA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51890-2025</t>
        </is>
      </c>
      <c r="B9196" s="1" t="n">
        <v>45952.41594907407</v>
      </c>
      <c r="C9196" s="1" t="n">
        <v>46011</v>
      </c>
      <c r="D9196" t="inlineStr">
        <is>
          <t>VÄSTRA GÖTALANDS LÄN</t>
        </is>
      </c>
      <c r="E9196" t="inlineStr">
        <is>
          <t>VÅRGÅRDA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41971-2023</t>
        </is>
      </c>
      <c r="B9197" s="1" t="n">
        <v>45177.37849537037</v>
      </c>
      <c r="C9197" s="1" t="n">
        <v>46011</v>
      </c>
      <c r="D9197" t="inlineStr">
        <is>
          <t>VÄSTRA GÖTALANDS LÄN</t>
        </is>
      </c>
      <c r="E9197" t="inlineStr">
        <is>
          <t>ALINGSÅS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51914-2023</t>
        </is>
      </c>
      <c r="B9198" s="1" t="n">
        <v>45223</v>
      </c>
      <c r="C9198" s="1" t="n">
        <v>46011</v>
      </c>
      <c r="D9198" t="inlineStr">
        <is>
          <t>VÄSTRA GÖTALANDS LÄN</t>
        </is>
      </c>
      <c r="E9198" t="inlineStr">
        <is>
          <t>ULRICEHAMN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4513-2025</t>
        </is>
      </c>
      <c r="B9199" s="1" t="n">
        <v>45686.83392361111</v>
      </c>
      <c r="C9199" s="1" t="n">
        <v>46011</v>
      </c>
      <c r="D9199" t="inlineStr">
        <is>
          <t>VÄSTRA GÖTALANDS LÄN</t>
        </is>
      </c>
      <c r="E9199" t="inlineStr">
        <is>
          <t>ULRICEHAMN</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60029-2025</t>
        </is>
      </c>
      <c r="B9200" s="1" t="n">
        <v>45993.61226851852</v>
      </c>
      <c r="C9200" s="1" t="n">
        <v>46011</v>
      </c>
      <c r="D9200" t="inlineStr">
        <is>
          <t>VÄSTRA GÖTALANDS LÄN</t>
        </is>
      </c>
      <c r="E9200" t="inlineStr">
        <is>
          <t>VARA</t>
        </is>
      </c>
      <c r="G9200" t="n">
        <v>19.6</v>
      </c>
      <c r="H9200" t="n">
        <v>0</v>
      </c>
      <c r="I9200" t="n">
        <v>0</v>
      </c>
      <c r="J9200" t="n">
        <v>0</v>
      </c>
      <c r="K9200" t="n">
        <v>0</v>
      </c>
      <c r="L9200" t="n">
        <v>0</v>
      </c>
      <c r="M9200" t="n">
        <v>0</v>
      </c>
      <c r="N9200" t="n">
        <v>0</v>
      </c>
      <c r="O9200" t="n">
        <v>0</v>
      </c>
      <c r="P9200" t="n">
        <v>0</v>
      </c>
      <c r="Q9200" t="n">
        <v>0</v>
      </c>
      <c r="R9200" s="2" t="inlineStr"/>
    </row>
    <row r="9201" ht="15" customHeight="1">
      <c r="A9201" t="inlineStr">
        <is>
          <t>A 31246-2024</t>
        </is>
      </c>
      <c r="B9201" s="1" t="n">
        <v>45503.65310185185</v>
      </c>
      <c r="C9201" s="1" t="n">
        <v>46011</v>
      </c>
      <c r="D9201" t="inlineStr">
        <is>
          <t>VÄSTRA GÖTALANDS LÄN</t>
        </is>
      </c>
      <c r="E9201" t="inlineStr">
        <is>
          <t>BENGTSFORS</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39116-2022</t>
        </is>
      </c>
      <c r="B9202" s="1" t="n">
        <v>44817.44609953704</v>
      </c>
      <c r="C9202" s="1" t="n">
        <v>46011</v>
      </c>
      <c r="D9202" t="inlineStr">
        <is>
          <t>VÄSTRA GÖTALANDS LÄN</t>
        </is>
      </c>
      <c r="E9202" t="inlineStr">
        <is>
          <t>TROLLHÄTTAN</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59872-2025</t>
        </is>
      </c>
      <c r="B9203" s="1" t="n">
        <v>45992.93340277778</v>
      </c>
      <c r="C9203" s="1" t="n">
        <v>46011</v>
      </c>
      <c r="D9203" t="inlineStr">
        <is>
          <t>VÄSTRA GÖTALANDS LÄN</t>
        </is>
      </c>
      <c r="E9203" t="inlineStr">
        <is>
          <t>BOLLEBYGD</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59878-2025</t>
        </is>
      </c>
      <c r="B9204" s="1" t="n">
        <v>45993.29204861111</v>
      </c>
      <c r="C9204" s="1" t="n">
        <v>46011</v>
      </c>
      <c r="D9204" t="inlineStr">
        <is>
          <t>VÄSTRA GÖTALANDS LÄN</t>
        </is>
      </c>
      <c r="E9204" t="inlineStr">
        <is>
          <t>DALS-ED</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59994-2025</t>
        </is>
      </c>
      <c r="B9205" s="1" t="n">
        <v>45993.56616898148</v>
      </c>
      <c r="C9205" s="1" t="n">
        <v>46011</v>
      </c>
      <c r="D9205" t="inlineStr">
        <is>
          <t>VÄSTRA GÖTALANDS LÄN</t>
        </is>
      </c>
      <c r="E9205" t="inlineStr">
        <is>
          <t>GRÄSTORP</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50955-2022</t>
        </is>
      </c>
      <c r="B9206" s="1" t="n">
        <v>44866</v>
      </c>
      <c r="C9206" s="1" t="n">
        <v>46011</v>
      </c>
      <c r="D9206" t="inlineStr">
        <is>
          <t>VÄSTRA GÖTALANDS LÄN</t>
        </is>
      </c>
      <c r="E9206" t="inlineStr">
        <is>
          <t>HERRLJUNGA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51992-2025</t>
        </is>
      </c>
      <c r="B9207" s="1" t="n">
        <v>45952.58126157407</v>
      </c>
      <c r="C9207" s="1" t="n">
        <v>46011</v>
      </c>
      <c r="D9207" t="inlineStr">
        <is>
          <t>VÄSTRA GÖTALANDS LÄN</t>
        </is>
      </c>
      <c r="E9207" t="inlineStr">
        <is>
          <t>STENUNGSUND</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46108-2021</t>
        </is>
      </c>
      <c r="B9208" s="1" t="n">
        <v>44442.36792824074</v>
      </c>
      <c r="C9208" s="1" t="n">
        <v>46011</v>
      </c>
      <c r="D9208" t="inlineStr">
        <is>
          <t>VÄSTRA GÖTALANDS LÄN</t>
        </is>
      </c>
      <c r="E9208" t="inlineStr">
        <is>
          <t>VÅRGÅRDA</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18999-2021</t>
        </is>
      </c>
      <c r="B9209" s="1" t="n">
        <v>44308</v>
      </c>
      <c r="C9209" s="1" t="n">
        <v>46011</v>
      </c>
      <c r="D9209" t="inlineStr">
        <is>
          <t>VÄSTRA GÖTALANDS LÄN</t>
        </is>
      </c>
      <c r="E9209" t="inlineStr">
        <is>
          <t>ALE</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11897-2025</t>
        </is>
      </c>
      <c r="B9210" s="1" t="n">
        <v>45728.46913194445</v>
      </c>
      <c r="C9210" s="1" t="n">
        <v>46011</v>
      </c>
      <c r="D9210" t="inlineStr">
        <is>
          <t>VÄSTRA GÖTALANDS LÄN</t>
        </is>
      </c>
      <c r="E9210" t="inlineStr">
        <is>
          <t>STRÖMSTAD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53254-2022</t>
        </is>
      </c>
      <c r="B9211" s="1" t="n">
        <v>44876.69381944444</v>
      </c>
      <c r="C9211" s="1" t="n">
        <v>46011</v>
      </c>
      <c r="D9211" t="inlineStr">
        <is>
          <t>VÄSTRA GÖTALANDS LÄN</t>
        </is>
      </c>
      <c r="E9211" t="inlineStr">
        <is>
          <t>MELLERUD</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11955-2025</t>
        </is>
      </c>
      <c r="B9212" s="1" t="n">
        <v>45728.56789351852</v>
      </c>
      <c r="C9212" s="1" t="n">
        <v>46011</v>
      </c>
      <c r="D9212" t="inlineStr">
        <is>
          <t>VÄSTRA GÖTALANDS LÄN</t>
        </is>
      </c>
      <c r="E9212" t="inlineStr">
        <is>
          <t>TANUM</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51709-2025</t>
        </is>
      </c>
      <c r="B9213" s="1" t="n">
        <v>45951.56857638889</v>
      </c>
      <c r="C9213" s="1" t="n">
        <v>46011</v>
      </c>
      <c r="D9213" t="inlineStr">
        <is>
          <t>VÄSTRA GÖTALANDS LÄN</t>
        </is>
      </c>
      <c r="E9213" t="inlineStr">
        <is>
          <t>TANUM</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35845-2024</t>
        </is>
      </c>
      <c r="B9214" s="1" t="n">
        <v>45532.77804398148</v>
      </c>
      <c r="C9214" s="1" t="n">
        <v>46011</v>
      </c>
      <c r="D9214" t="inlineStr">
        <is>
          <t>VÄSTRA GÖTALANDS LÄN</t>
        </is>
      </c>
      <c r="E9214" t="inlineStr">
        <is>
          <t>FÄRGELANDA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62541-2021</t>
        </is>
      </c>
      <c r="B9215" s="1" t="n">
        <v>44503.61209490741</v>
      </c>
      <c r="C9215" s="1" t="n">
        <v>46011</v>
      </c>
      <c r="D9215" t="inlineStr">
        <is>
          <t>VÄSTRA GÖTALANDS LÄN</t>
        </is>
      </c>
      <c r="E9215" t="inlineStr">
        <is>
          <t>LIDKÖPING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51907-2025</t>
        </is>
      </c>
      <c r="B9216" s="1" t="n">
        <v>45951</v>
      </c>
      <c r="C9216" s="1" t="n">
        <v>46011</v>
      </c>
      <c r="D9216" t="inlineStr">
        <is>
          <t>VÄSTRA GÖTALANDS LÄN</t>
        </is>
      </c>
      <c r="E9216" t="inlineStr">
        <is>
          <t>TIDAHOLM</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60089-2025</t>
        </is>
      </c>
      <c r="B9217" s="1" t="n">
        <v>45993.72018518519</v>
      </c>
      <c r="C9217" s="1" t="n">
        <v>46011</v>
      </c>
      <c r="D9217" t="inlineStr">
        <is>
          <t>VÄSTRA GÖTALANDS LÄN</t>
        </is>
      </c>
      <c r="E9217" t="inlineStr">
        <is>
          <t>BOLLEBYGD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60091-2025</t>
        </is>
      </c>
      <c r="B9218" s="1" t="n">
        <v>45993.72268518519</v>
      </c>
      <c r="C9218" s="1" t="n">
        <v>46011</v>
      </c>
      <c r="D9218" t="inlineStr">
        <is>
          <t>VÄSTRA GÖTALANDS LÄN</t>
        </is>
      </c>
      <c r="E9218" t="inlineStr">
        <is>
          <t>BOLLEBYGD</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60181-2025</t>
        </is>
      </c>
      <c r="B9219" s="1" t="n">
        <v>45994.46494212963</v>
      </c>
      <c r="C9219" s="1" t="n">
        <v>46011</v>
      </c>
      <c r="D9219" t="inlineStr">
        <is>
          <t>VÄSTRA GÖTALANDS LÄN</t>
        </is>
      </c>
      <c r="E9219" t="inlineStr">
        <is>
          <t>BOLLEBYGD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51554-2025</t>
        </is>
      </c>
      <c r="B9220" s="1" t="n">
        <v>45950.88504629629</v>
      </c>
      <c r="C9220" s="1" t="n">
        <v>46011</v>
      </c>
      <c r="D9220" t="inlineStr">
        <is>
          <t>VÄSTRA GÖTALANDS LÄN</t>
        </is>
      </c>
      <c r="E9220" t="inlineStr">
        <is>
          <t>DALS-ED</t>
        </is>
      </c>
      <c r="F9220" t="inlineStr">
        <is>
          <t>Kyrkan</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34576-2023</t>
        </is>
      </c>
      <c r="B9221" s="1" t="n">
        <v>45140.54517361111</v>
      </c>
      <c r="C9221" s="1" t="n">
        <v>46011</v>
      </c>
      <c r="D9221" t="inlineStr">
        <is>
          <t>VÄSTRA GÖTALANDS LÄN</t>
        </is>
      </c>
      <c r="E9221" t="inlineStr">
        <is>
          <t>ULRICEHAMN</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41690-2023</t>
        </is>
      </c>
      <c r="B9222" s="1" t="n">
        <v>45176.36280092593</v>
      </c>
      <c r="C9222" s="1" t="n">
        <v>46011</v>
      </c>
      <c r="D9222" t="inlineStr">
        <is>
          <t>VÄSTRA GÖTALANDS LÄN</t>
        </is>
      </c>
      <c r="E9222" t="inlineStr">
        <is>
          <t>VARA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19862-2023</t>
        </is>
      </c>
      <c r="B9223" s="1" t="n">
        <v>45053.91832175926</v>
      </c>
      <c r="C9223" s="1" t="n">
        <v>46011</v>
      </c>
      <c r="D9223" t="inlineStr">
        <is>
          <t>VÄSTRA GÖTALANDS LÄN</t>
        </is>
      </c>
      <c r="E9223" t="inlineStr">
        <is>
          <t>BORÅS</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17760-2021</t>
        </is>
      </c>
      <c r="B9224" s="1" t="n">
        <v>44300</v>
      </c>
      <c r="C9224" s="1" t="n">
        <v>46011</v>
      </c>
      <c r="D9224" t="inlineStr">
        <is>
          <t>VÄSTRA GÖTALANDS LÄN</t>
        </is>
      </c>
      <c r="E9224" t="inlineStr">
        <is>
          <t>BENGTSFORS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8304-2025</t>
        </is>
      </c>
      <c r="B9225" s="1" t="n">
        <v>45708.59888888889</v>
      </c>
      <c r="C9225" s="1" t="n">
        <v>46011</v>
      </c>
      <c r="D9225" t="inlineStr">
        <is>
          <t>VÄSTRA GÖTALANDS LÄN</t>
        </is>
      </c>
      <c r="E9225" t="inlineStr">
        <is>
          <t>TRANEMO</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60472-2025</t>
        </is>
      </c>
      <c r="B9226" s="1" t="n">
        <v>45995.57681712963</v>
      </c>
      <c r="C9226" s="1" t="n">
        <v>46011</v>
      </c>
      <c r="D9226" t="inlineStr">
        <is>
          <t>VÄSTRA GÖTALANDS LÄN</t>
        </is>
      </c>
      <c r="E9226" t="inlineStr">
        <is>
          <t>SVENLJUNGA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52629-2025</t>
        </is>
      </c>
      <c r="B9227" s="1" t="n">
        <v>45954.71233796296</v>
      </c>
      <c r="C9227" s="1" t="n">
        <v>46011</v>
      </c>
      <c r="D9227" t="inlineStr">
        <is>
          <t>VÄSTRA GÖTALANDS LÄN</t>
        </is>
      </c>
      <c r="E9227" t="inlineStr">
        <is>
          <t>ULRICEHAMN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60540-2025</t>
        </is>
      </c>
      <c r="B9228" s="1" t="n">
        <v>45995.67863425926</v>
      </c>
      <c r="C9228" s="1" t="n">
        <v>46011</v>
      </c>
      <c r="D9228" t="inlineStr">
        <is>
          <t>VÄSTRA GÖTALANDS LÄN</t>
        </is>
      </c>
      <c r="E9228" t="inlineStr">
        <is>
          <t>BENGTSFORS</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60542-2025</t>
        </is>
      </c>
      <c r="B9229" s="1" t="n">
        <v>45995.68126157407</v>
      </c>
      <c r="C9229" s="1" t="n">
        <v>46011</v>
      </c>
      <c r="D9229" t="inlineStr">
        <is>
          <t>VÄSTRA GÖTALANDS LÄN</t>
        </is>
      </c>
      <c r="E9229" t="inlineStr">
        <is>
          <t>DALS-ED</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32203-2024</t>
        </is>
      </c>
      <c r="B9230" s="1" t="n">
        <v>45511.67099537037</v>
      </c>
      <c r="C9230" s="1" t="n">
        <v>46011</v>
      </c>
      <c r="D9230" t="inlineStr">
        <is>
          <t>VÄSTRA GÖTALANDS LÄN</t>
        </is>
      </c>
      <c r="E9230" t="inlineStr">
        <is>
          <t>FALKÖPING</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60559-2025</t>
        </is>
      </c>
      <c r="B9231" s="1" t="n">
        <v>45995.78456018519</v>
      </c>
      <c r="C9231" s="1" t="n">
        <v>46011</v>
      </c>
      <c r="D9231" t="inlineStr">
        <is>
          <t>VÄSTRA GÖTALANDS LÄN</t>
        </is>
      </c>
      <c r="E9231" t="inlineStr">
        <is>
          <t>GÖTENE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67455-2021</t>
        </is>
      </c>
      <c r="B9232" s="1" t="n">
        <v>44524.38003472222</v>
      </c>
      <c r="C9232" s="1" t="n">
        <v>46011</v>
      </c>
      <c r="D9232" t="inlineStr">
        <is>
          <t>VÄSTRA GÖTALANDS LÄN</t>
        </is>
      </c>
      <c r="E9232" t="inlineStr">
        <is>
          <t>BOLLEBYGD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55416-2023</t>
        </is>
      </c>
      <c r="B9233" s="1" t="n">
        <v>45238</v>
      </c>
      <c r="C9233" s="1" t="n">
        <v>46011</v>
      </c>
      <c r="D9233" t="inlineStr">
        <is>
          <t>VÄSTRA GÖTALANDS LÄN</t>
        </is>
      </c>
      <c r="E9233" t="inlineStr">
        <is>
          <t>UDDEVALLA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19319-2025</t>
        </is>
      </c>
      <c r="B9234" s="1" t="n">
        <v>45769.57847222222</v>
      </c>
      <c r="C9234" s="1" t="n">
        <v>46011</v>
      </c>
      <c r="D9234" t="inlineStr">
        <is>
          <t>VÄSTRA GÖTALANDS LÄN</t>
        </is>
      </c>
      <c r="E9234" t="inlineStr">
        <is>
          <t>VÅRGÅRDA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52555-2025</t>
        </is>
      </c>
      <c r="B9235" s="1" t="n">
        <v>45954.56396990741</v>
      </c>
      <c r="C9235" s="1" t="n">
        <v>46011</v>
      </c>
      <c r="D9235" t="inlineStr">
        <is>
          <t>VÄSTRA GÖTALANDS LÄN</t>
        </is>
      </c>
      <c r="E9235" t="inlineStr">
        <is>
          <t>MUNKEDAL</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52584-2025</t>
        </is>
      </c>
      <c r="B9236" s="1" t="n">
        <v>45954.6255787037</v>
      </c>
      <c r="C9236" s="1" t="n">
        <v>46011</v>
      </c>
      <c r="D9236" t="inlineStr">
        <is>
          <t>VÄSTRA GÖTALANDS LÄN</t>
        </is>
      </c>
      <c r="E9236" t="inlineStr">
        <is>
          <t>FÄRGELANDA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60687-2025</t>
        </is>
      </c>
      <c r="B9237" s="1" t="n">
        <v>45996.5859837963</v>
      </c>
      <c r="C9237" s="1" t="n">
        <v>46011</v>
      </c>
      <c r="D9237" t="inlineStr">
        <is>
          <t>VÄSTRA GÖTALANDS LÄN</t>
        </is>
      </c>
      <c r="E9237" t="inlineStr">
        <is>
          <t>STENUNGSUND</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1643-2024</t>
        </is>
      </c>
      <c r="B9238" s="1" t="n">
        <v>45306.68015046296</v>
      </c>
      <c r="C9238" s="1" t="n">
        <v>46011</v>
      </c>
      <c r="D9238" t="inlineStr">
        <is>
          <t>VÄSTRA GÖTALANDS LÄN</t>
        </is>
      </c>
      <c r="E9238" t="inlineStr">
        <is>
          <t>MARK</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14039-2023</t>
        </is>
      </c>
      <c r="B9239" s="1" t="n">
        <v>45008</v>
      </c>
      <c r="C9239" s="1" t="n">
        <v>46011</v>
      </c>
      <c r="D9239" t="inlineStr">
        <is>
          <t>VÄSTRA GÖTALANDS LÄN</t>
        </is>
      </c>
      <c r="E9239" t="inlineStr">
        <is>
          <t>ULRICEHAMN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19357-2025</t>
        </is>
      </c>
      <c r="B9240" s="1" t="n">
        <v>45769.62415509259</v>
      </c>
      <c r="C9240" s="1" t="n">
        <v>46011</v>
      </c>
      <c r="D9240" t="inlineStr">
        <is>
          <t>VÄSTRA GÖTALANDS LÄN</t>
        </is>
      </c>
      <c r="E9240" t="inlineStr">
        <is>
          <t>DALS-ED</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18175-2025</t>
        </is>
      </c>
      <c r="B9241" s="1" t="n">
        <v>45761.65313657407</v>
      </c>
      <c r="C9241" s="1" t="n">
        <v>46011</v>
      </c>
      <c r="D9241" t="inlineStr">
        <is>
          <t>VÄSTRA GÖTALANDS LÄN</t>
        </is>
      </c>
      <c r="E9241" t="inlineStr">
        <is>
          <t>FÄRGELANDA</t>
        </is>
      </c>
      <c r="G9241" t="n">
        <v>20.5</v>
      </c>
      <c r="H9241" t="n">
        <v>0</v>
      </c>
      <c r="I9241" t="n">
        <v>0</v>
      </c>
      <c r="J9241" t="n">
        <v>0</v>
      </c>
      <c r="K9241" t="n">
        <v>0</v>
      </c>
      <c r="L9241" t="n">
        <v>0</v>
      </c>
      <c r="M9241" t="n">
        <v>0</v>
      </c>
      <c r="N9241" t="n">
        <v>0</v>
      </c>
      <c r="O9241" t="n">
        <v>0</v>
      </c>
      <c r="P9241" t="n">
        <v>0</v>
      </c>
      <c r="Q9241" t="n">
        <v>0</v>
      </c>
      <c r="R9241" s="2" t="inlineStr"/>
    </row>
    <row r="9242" ht="15" customHeight="1">
      <c r="A9242" t="inlineStr">
        <is>
          <t>A 17070-2025</t>
        </is>
      </c>
      <c r="B9242" s="1" t="n">
        <v>45755.61774305555</v>
      </c>
      <c r="C9242" s="1" t="n">
        <v>46011</v>
      </c>
      <c r="D9242" t="inlineStr">
        <is>
          <t>VÄSTRA GÖTALANDS LÄN</t>
        </is>
      </c>
      <c r="E9242" t="inlineStr">
        <is>
          <t>SKÖVDE</t>
        </is>
      </c>
      <c r="F9242" t="inlineStr">
        <is>
          <t>Kommuner</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52370-2025</t>
        </is>
      </c>
      <c r="B9243" s="1" t="n">
        <v>45953.88924768518</v>
      </c>
      <c r="C9243" s="1" t="n">
        <v>46011</v>
      </c>
      <c r="D9243" t="inlineStr">
        <is>
          <t>VÄSTRA GÖTALANDS LÄN</t>
        </is>
      </c>
      <c r="E9243" t="inlineStr">
        <is>
          <t>BOLLEBYGD</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52372-2025</t>
        </is>
      </c>
      <c r="B9244" s="1" t="n">
        <v>45953.92935185185</v>
      </c>
      <c r="C9244" s="1" t="n">
        <v>46011</v>
      </c>
      <c r="D9244" t="inlineStr">
        <is>
          <t>VÄSTRA GÖTALANDS LÄN</t>
        </is>
      </c>
      <c r="E9244" t="inlineStr">
        <is>
          <t>SVENLJUNGA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9907-2022</t>
        </is>
      </c>
      <c r="B9245" s="1" t="n">
        <v>44620</v>
      </c>
      <c r="C9245" s="1" t="n">
        <v>46011</v>
      </c>
      <c r="D9245" t="inlineStr">
        <is>
          <t>VÄSTRA GÖTALANDS LÄN</t>
        </is>
      </c>
      <c r="E9245" t="inlineStr">
        <is>
          <t>BENGTSFORS</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33892-2023</t>
        </is>
      </c>
      <c r="B9246" s="1" t="n">
        <v>45134.34258101852</v>
      </c>
      <c r="C9246" s="1" t="n">
        <v>46011</v>
      </c>
      <c r="D9246" t="inlineStr">
        <is>
          <t>VÄSTRA GÖTALANDS LÄN</t>
        </is>
      </c>
      <c r="E9246" t="inlineStr">
        <is>
          <t>ULRICEHAMN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30981-2023</t>
        </is>
      </c>
      <c r="B9247" s="1" t="n">
        <v>45113.51041666666</v>
      </c>
      <c r="C9247" s="1" t="n">
        <v>46011</v>
      </c>
      <c r="D9247" t="inlineStr">
        <is>
          <t>VÄSTRA GÖTALANDS LÄN</t>
        </is>
      </c>
      <c r="E9247" t="inlineStr">
        <is>
          <t>ÅMÅL</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40118-2023</t>
        </is>
      </c>
      <c r="B9248" s="1" t="n">
        <v>45168.94686342592</v>
      </c>
      <c r="C9248" s="1" t="n">
        <v>46011</v>
      </c>
      <c r="D9248" t="inlineStr">
        <is>
          <t>VÄSTRA GÖTALANDS LÄN</t>
        </is>
      </c>
      <c r="E9248" t="inlineStr">
        <is>
          <t>BORÅS</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52511-2025</t>
        </is>
      </c>
      <c r="B9249" s="1" t="n">
        <v>45954.50719907408</v>
      </c>
      <c r="C9249" s="1" t="n">
        <v>46011</v>
      </c>
      <c r="D9249" t="inlineStr">
        <is>
          <t>VÄSTRA GÖTALANDS LÄN</t>
        </is>
      </c>
      <c r="E9249" t="inlineStr">
        <is>
          <t>BOLLEBYGD</t>
        </is>
      </c>
      <c r="G9249" t="n">
        <v>0</v>
      </c>
      <c r="H9249" t="n">
        <v>0</v>
      </c>
      <c r="I9249" t="n">
        <v>0</v>
      </c>
      <c r="J9249" t="n">
        <v>0</v>
      </c>
      <c r="K9249" t="n">
        <v>0</v>
      </c>
      <c r="L9249" t="n">
        <v>0</v>
      </c>
      <c r="M9249" t="n">
        <v>0</v>
      </c>
      <c r="N9249" t="n">
        <v>0</v>
      </c>
      <c r="O9249" t="n">
        <v>0</v>
      </c>
      <c r="P9249" t="n">
        <v>0</v>
      </c>
      <c r="Q9249" t="n">
        <v>0</v>
      </c>
      <c r="R9249" s="2" t="inlineStr"/>
    </row>
    <row r="9250" ht="15" customHeight="1">
      <c r="A9250" t="inlineStr">
        <is>
          <t>A 22880-2023</t>
        </is>
      </c>
      <c r="B9250" s="1" t="n">
        <v>45072</v>
      </c>
      <c r="C9250" s="1" t="n">
        <v>46011</v>
      </c>
      <c r="D9250" t="inlineStr">
        <is>
          <t>VÄSTRA GÖTALANDS LÄN</t>
        </is>
      </c>
      <c r="E9250" t="inlineStr">
        <is>
          <t>HERRLJUNGA</t>
        </is>
      </c>
      <c r="F9250" t="inlineStr">
        <is>
          <t>Sveaskog</t>
        </is>
      </c>
      <c r="G9250" t="n">
        <v>10.2</v>
      </c>
      <c r="H9250" t="n">
        <v>0</v>
      </c>
      <c r="I9250" t="n">
        <v>0</v>
      </c>
      <c r="J9250" t="n">
        <v>0</v>
      </c>
      <c r="K9250" t="n">
        <v>0</v>
      </c>
      <c r="L9250" t="n">
        <v>0</v>
      </c>
      <c r="M9250" t="n">
        <v>0</v>
      </c>
      <c r="N9250" t="n">
        <v>0</v>
      </c>
      <c r="O9250" t="n">
        <v>0</v>
      </c>
      <c r="P9250" t="n">
        <v>0</v>
      </c>
      <c r="Q9250" t="n">
        <v>0</v>
      </c>
      <c r="R9250" s="2" t="inlineStr"/>
      <c r="U9250">
        <f>HYPERLINK("https://klasma.github.io/Logging_1466/knärot/A 22880-2023 karta knärot.png", "A 22880-2023")</f>
        <v/>
      </c>
      <c r="V9250">
        <f>HYPERLINK("https://klasma.github.io/Logging_1466/klagomål/A 22880-2023 FSC-klagomål.docx", "A 22880-2023")</f>
        <v/>
      </c>
      <c r="W9250">
        <f>HYPERLINK("https://klasma.github.io/Logging_1466/klagomålsmail/A 22880-2023 FSC-klagomål mail.docx", "A 22880-2023")</f>
        <v/>
      </c>
      <c r="X9250">
        <f>HYPERLINK("https://klasma.github.io/Logging_1466/tillsyn/A 22880-2023 tillsynsbegäran.docx", "A 22880-2023")</f>
        <v/>
      </c>
      <c r="Y9250">
        <f>HYPERLINK("https://klasma.github.io/Logging_1466/tillsynsmail/A 22880-2023 tillsynsbegäran mail.docx", "A 22880-2023")</f>
        <v/>
      </c>
    </row>
    <row r="9251" ht="15" customHeight="1">
      <c r="A9251" t="inlineStr">
        <is>
          <t>A 27691-2024</t>
        </is>
      </c>
      <c r="B9251" s="1" t="n">
        <v>45475.34384259259</v>
      </c>
      <c r="C9251" s="1" t="n">
        <v>46011</v>
      </c>
      <c r="D9251" t="inlineStr">
        <is>
          <t>VÄSTRA GÖTALANDS LÄN</t>
        </is>
      </c>
      <c r="E9251" t="inlineStr">
        <is>
          <t>MARK</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19256-2023</t>
        </is>
      </c>
      <c r="B9252" s="1" t="n">
        <v>45049</v>
      </c>
      <c r="C9252" s="1" t="n">
        <v>46011</v>
      </c>
      <c r="D9252" t="inlineStr">
        <is>
          <t>VÄSTRA GÖTALANDS LÄN</t>
        </is>
      </c>
      <c r="E9252" t="inlineStr">
        <is>
          <t>TÖREBODA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62510-2022</t>
        </is>
      </c>
      <c r="B9253" s="1" t="n">
        <v>44924.60834490741</v>
      </c>
      <c r="C9253" s="1" t="n">
        <v>46011</v>
      </c>
      <c r="D9253" t="inlineStr">
        <is>
          <t>VÄSTRA GÖTALANDS LÄN</t>
        </is>
      </c>
      <c r="E9253" t="inlineStr">
        <is>
          <t>GÖTENE</t>
        </is>
      </c>
      <c r="F9253" t="inlineStr">
        <is>
          <t>Övriga Aktiebolag</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4404-2023</t>
        </is>
      </c>
      <c r="B9254" s="1" t="n">
        <v>44956.35644675926</v>
      </c>
      <c r="C9254" s="1" t="n">
        <v>46011</v>
      </c>
      <c r="D9254" t="inlineStr">
        <is>
          <t>VÄSTRA GÖTALANDS LÄN</t>
        </is>
      </c>
      <c r="E9254" t="inlineStr">
        <is>
          <t>BENGTSFORS</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17643-2024</t>
        </is>
      </c>
      <c r="B9255" s="1" t="n">
        <v>45418.36640046296</v>
      </c>
      <c r="C9255" s="1" t="n">
        <v>46011</v>
      </c>
      <c r="D9255" t="inlineStr">
        <is>
          <t>VÄSTRA GÖTALANDS LÄN</t>
        </is>
      </c>
      <c r="E9255" t="inlineStr">
        <is>
          <t>DALS-ED</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60617-2025</t>
        </is>
      </c>
      <c r="B9256" s="1" t="n">
        <v>45996.37564814815</v>
      </c>
      <c r="C9256" s="1" t="n">
        <v>46011</v>
      </c>
      <c r="D9256" t="inlineStr">
        <is>
          <t>VÄSTRA GÖTALANDS LÄN</t>
        </is>
      </c>
      <c r="E9256" t="inlineStr">
        <is>
          <t>BORÅS</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2022-2023</t>
        </is>
      </c>
      <c r="B9257" s="1" t="n">
        <v>44937</v>
      </c>
      <c r="C9257" s="1" t="n">
        <v>46011</v>
      </c>
      <c r="D9257" t="inlineStr">
        <is>
          <t>VÄSTRA GÖTALANDS LÄN</t>
        </is>
      </c>
      <c r="E9257" t="inlineStr">
        <is>
          <t>SVENLJUNGA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3751-2023</t>
        </is>
      </c>
      <c r="B9258" s="1" t="n">
        <v>44951.46585648148</v>
      </c>
      <c r="C9258" s="1" t="n">
        <v>46011</v>
      </c>
      <c r="D9258" t="inlineStr">
        <is>
          <t>VÄSTRA GÖTALANDS LÄN</t>
        </is>
      </c>
      <c r="E9258" t="inlineStr">
        <is>
          <t>BENGTSFORS</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14470-2023</t>
        </is>
      </c>
      <c r="B9259" s="1" t="n">
        <v>45012.65436342593</v>
      </c>
      <c r="C9259" s="1" t="n">
        <v>46011</v>
      </c>
      <c r="D9259" t="inlineStr">
        <is>
          <t>VÄSTRA GÖTALANDS LÄN</t>
        </is>
      </c>
      <c r="E9259" t="inlineStr">
        <is>
          <t>ÅMÅL</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3839-2023</t>
        </is>
      </c>
      <c r="B9260" s="1" t="n">
        <v>44951</v>
      </c>
      <c r="C9260" s="1" t="n">
        <v>46011</v>
      </c>
      <c r="D9260" t="inlineStr">
        <is>
          <t>VÄSTRA GÖTALANDS LÄN</t>
        </is>
      </c>
      <c r="E9260" t="inlineStr">
        <is>
          <t>UDDEVALLA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12823-2022</t>
        </is>
      </c>
      <c r="B9261" s="1" t="n">
        <v>44642.42333333333</v>
      </c>
      <c r="C9261" s="1" t="n">
        <v>46011</v>
      </c>
      <c r="D9261" t="inlineStr">
        <is>
          <t>VÄSTRA GÖTALANDS LÄN</t>
        </is>
      </c>
      <c r="E9261" t="inlineStr">
        <is>
          <t>VÄNERSBORG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58640-2025</t>
        </is>
      </c>
      <c r="B9262" s="1" t="n">
        <v>45986.4943287037</v>
      </c>
      <c r="C9262" s="1" t="n">
        <v>46011</v>
      </c>
      <c r="D9262" t="inlineStr">
        <is>
          <t>VÄSTRA GÖTALANDS LÄN</t>
        </is>
      </c>
      <c r="E9262" t="inlineStr">
        <is>
          <t>MARK</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34566-2024</t>
        </is>
      </c>
      <c r="B9263" s="1" t="n">
        <v>45526.33056712963</v>
      </c>
      <c r="C9263" s="1" t="n">
        <v>46011</v>
      </c>
      <c r="D9263" t="inlineStr">
        <is>
          <t>VÄSTRA GÖTALANDS LÄN</t>
        </is>
      </c>
      <c r="E9263" t="inlineStr">
        <is>
          <t>SVENLJUNGA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60575-2025</t>
        </is>
      </c>
      <c r="B9264" s="1" t="n">
        <v>45996.3097337963</v>
      </c>
      <c r="C9264" s="1" t="n">
        <v>46011</v>
      </c>
      <c r="D9264" t="inlineStr">
        <is>
          <t>VÄSTRA GÖTALANDS LÄN</t>
        </is>
      </c>
      <c r="E9264" t="inlineStr">
        <is>
          <t>VARA</t>
        </is>
      </c>
      <c r="F9264" t="inlineStr">
        <is>
          <t>Sveaskog</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57699-2023</t>
        </is>
      </c>
      <c r="B9265" s="1" t="n">
        <v>45246</v>
      </c>
      <c r="C9265" s="1" t="n">
        <v>46011</v>
      </c>
      <c r="D9265" t="inlineStr">
        <is>
          <t>VÄSTRA GÖTALANDS LÄN</t>
        </is>
      </c>
      <c r="E9265" t="inlineStr">
        <is>
          <t>VÄNERSBORG</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11123-2025</t>
        </is>
      </c>
      <c r="B9266" s="1" t="n">
        <v>45723.63846064815</v>
      </c>
      <c r="C9266" s="1" t="n">
        <v>46011</v>
      </c>
      <c r="D9266" t="inlineStr">
        <is>
          <t>VÄSTRA GÖTALANDS LÄN</t>
        </is>
      </c>
      <c r="E9266" t="inlineStr">
        <is>
          <t>MUNKEDAL</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60538-2025</t>
        </is>
      </c>
      <c r="B9267" s="1" t="n">
        <v>45995.67278935185</v>
      </c>
      <c r="C9267" s="1" t="n">
        <v>46011</v>
      </c>
      <c r="D9267" t="inlineStr">
        <is>
          <t>VÄSTRA GÖTALANDS LÄN</t>
        </is>
      </c>
      <c r="E9267" t="inlineStr">
        <is>
          <t>DALS-ED</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49483-2025</t>
        </is>
      </c>
      <c r="B9268" s="1" t="n">
        <v>45939</v>
      </c>
      <c r="C9268" s="1" t="n">
        <v>46011</v>
      </c>
      <c r="D9268" t="inlineStr">
        <is>
          <t>VÄSTRA GÖTALANDS LÄN</t>
        </is>
      </c>
      <c r="E9268" t="inlineStr">
        <is>
          <t>ÅMÅL</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52131-2025</t>
        </is>
      </c>
      <c r="B9269" s="1" t="n">
        <v>45952.75775462963</v>
      </c>
      <c r="C9269" s="1" t="n">
        <v>46011</v>
      </c>
      <c r="D9269" t="inlineStr">
        <is>
          <t>VÄSTRA GÖTALANDS LÄN</t>
        </is>
      </c>
      <c r="E9269" t="inlineStr">
        <is>
          <t>VARA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58529-2023</t>
        </is>
      </c>
      <c r="B9270" s="1" t="n">
        <v>45251.39027777778</v>
      </c>
      <c r="C9270" s="1" t="n">
        <v>46011</v>
      </c>
      <c r="D9270" t="inlineStr">
        <is>
          <t>VÄSTRA GÖTALANDS LÄN</t>
        </is>
      </c>
      <c r="E9270" t="inlineStr">
        <is>
          <t>TRANEMO</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16682-2025</t>
        </is>
      </c>
      <c r="B9271" s="1" t="n">
        <v>45754.44958333333</v>
      </c>
      <c r="C9271" s="1" t="n">
        <v>46011</v>
      </c>
      <c r="D9271" t="inlineStr">
        <is>
          <t>VÄSTRA GÖTALANDS LÄN</t>
        </is>
      </c>
      <c r="E9271" t="inlineStr">
        <is>
          <t>TÖREBODA</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52141-2025</t>
        </is>
      </c>
      <c r="B9272" s="1" t="n">
        <v>45953.32733796296</v>
      </c>
      <c r="C9272" s="1" t="n">
        <v>46011</v>
      </c>
      <c r="D9272" t="inlineStr">
        <is>
          <t>VÄSTRA GÖTALANDS LÄN</t>
        </is>
      </c>
      <c r="E9272" t="inlineStr">
        <is>
          <t>GÖTENE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52172-2025</t>
        </is>
      </c>
      <c r="B9273" s="1" t="n">
        <v>45953.37298611111</v>
      </c>
      <c r="C9273" s="1" t="n">
        <v>46011</v>
      </c>
      <c r="D9273" t="inlineStr">
        <is>
          <t>VÄSTRA GÖTALANDS LÄN</t>
        </is>
      </c>
      <c r="E9273" t="inlineStr">
        <is>
          <t>SKÖVDE</t>
        </is>
      </c>
      <c r="F9273" t="inlineStr">
        <is>
          <t>Kommuner</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19302-2025</t>
        </is>
      </c>
      <c r="B9274" s="1" t="n">
        <v>45769.56519675926</v>
      </c>
      <c r="C9274" s="1" t="n">
        <v>46011</v>
      </c>
      <c r="D9274" t="inlineStr">
        <is>
          <t>VÄSTRA GÖTALANDS LÄN</t>
        </is>
      </c>
      <c r="E9274" t="inlineStr">
        <is>
          <t>STENUNGSUND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52594-2025</t>
        </is>
      </c>
      <c r="B9275" s="1" t="n">
        <v>45954.63684027778</v>
      </c>
      <c r="C9275" s="1" t="n">
        <v>46011</v>
      </c>
      <c r="D9275" t="inlineStr">
        <is>
          <t>VÄSTRA GÖTALANDS LÄN</t>
        </is>
      </c>
      <c r="E9275" t="inlineStr">
        <is>
          <t>FALKÖPING</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27815-2024</t>
        </is>
      </c>
      <c r="B9276" s="1" t="n">
        <v>45475.59787037037</v>
      </c>
      <c r="C9276" s="1" t="n">
        <v>46011</v>
      </c>
      <c r="D9276" t="inlineStr">
        <is>
          <t>VÄSTRA GÖTALANDS LÄN</t>
        </is>
      </c>
      <c r="E9276" t="inlineStr">
        <is>
          <t>VÄNERSBORG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60766-2023</t>
        </is>
      </c>
      <c r="B9277" s="1" t="n">
        <v>45260.61935185185</v>
      </c>
      <c r="C9277" s="1" t="n">
        <v>46011</v>
      </c>
      <c r="D9277" t="inlineStr">
        <is>
          <t>VÄSTRA GÖTALANDS LÄN</t>
        </is>
      </c>
      <c r="E9277" t="inlineStr">
        <is>
          <t>FÄRGELANDA</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57918-2022</t>
        </is>
      </c>
      <c r="B9278" s="1" t="n">
        <v>44900.37013888889</v>
      </c>
      <c r="C9278" s="1" t="n">
        <v>46011</v>
      </c>
      <c r="D9278" t="inlineStr">
        <is>
          <t>VÄSTRA GÖTALANDS LÄN</t>
        </is>
      </c>
      <c r="E9278" t="inlineStr">
        <is>
          <t>TROLLHÄTTAN</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52417-2025</t>
        </is>
      </c>
      <c r="B9279" s="1" t="n">
        <v>45954.36815972222</v>
      </c>
      <c r="C9279" s="1" t="n">
        <v>46011</v>
      </c>
      <c r="D9279" t="inlineStr">
        <is>
          <t>VÄSTRA GÖTALANDS LÄN</t>
        </is>
      </c>
      <c r="E9279" t="inlineStr">
        <is>
          <t>TANUM</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8599-2023</t>
        </is>
      </c>
      <c r="B9280" s="1" t="n">
        <v>44977</v>
      </c>
      <c r="C9280" s="1" t="n">
        <v>46011</v>
      </c>
      <c r="D9280" t="inlineStr">
        <is>
          <t>VÄSTRA GÖTALANDS LÄN</t>
        </is>
      </c>
      <c r="E9280" t="inlineStr">
        <is>
          <t>ALINGSÅS</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6614-2023</t>
        </is>
      </c>
      <c r="B9281" s="1" t="n">
        <v>44966</v>
      </c>
      <c r="C9281" s="1" t="n">
        <v>46011</v>
      </c>
      <c r="D9281" t="inlineStr">
        <is>
          <t>VÄSTRA GÖTALANDS LÄN</t>
        </is>
      </c>
      <c r="E9281" t="inlineStr">
        <is>
          <t>BENGTSFORS</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61021-2022</t>
        </is>
      </c>
      <c r="B9282" s="1" t="n">
        <v>44914</v>
      </c>
      <c r="C9282" s="1" t="n">
        <v>46011</v>
      </c>
      <c r="D9282" t="inlineStr">
        <is>
          <t>VÄSTRA GÖTALANDS LÄN</t>
        </is>
      </c>
      <c r="E9282" t="inlineStr">
        <is>
          <t>GÖTENE</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61094-2022</t>
        </is>
      </c>
      <c r="B9283" s="1" t="n">
        <v>44915.39818287037</v>
      </c>
      <c r="C9283" s="1" t="n">
        <v>46011</v>
      </c>
      <c r="D9283" t="inlineStr">
        <is>
          <t>VÄSTRA GÖTALANDS LÄN</t>
        </is>
      </c>
      <c r="E9283" t="inlineStr">
        <is>
          <t>SVENLJUNGA</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60239-2025</t>
        </is>
      </c>
      <c r="B9284" s="1" t="n">
        <v>45994</v>
      </c>
      <c r="C9284" s="1" t="n">
        <v>46011</v>
      </c>
      <c r="D9284" t="inlineStr">
        <is>
          <t>VÄSTRA GÖTALANDS LÄN</t>
        </is>
      </c>
      <c r="E9284" t="inlineStr">
        <is>
          <t>ALINGSÅS</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57663-2025</t>
        </is>
      </c>
      <c r="B9285" s="1" t="n">
        <v>45981.42303240741</v>
      </c>
      <c r="C9285" s="1" t="n">
        <v>46011</v>
      </c>
      <c r="D9285" t="inlineStr">
        <is>
          <t>VÄSTRA GÖTALANDS LÄN</t>
        </is>
      </c>
      <c r="E9285" t="inlineStr">
        <is>
          <t>STRÖMSTAD</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13372-2025</t>
        </is>
      </c>
      <c r="B9286" s="1" t="n">
        <v>45735.66385416667</v>
      </c>
      <c r="C9286" s="1" t="n">
        <v>46011</v>
      </c>
      <c r="D9286" t="inlineStr">
        <is>
          <t>VÄSTRA GÖTALANDS LÄN</t>
        </is>
      </c>
      <c r="E9286" t="inlineStr">
        <is>
          <t>SVENLJUNGA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22659-2025</t>
        </is>
      </c>
      <c r="B9287" s="1" t="n">
        <v>45789</v>
      </c>
      <c r="C9287" s="1" t="n">
        <v>46011</v>
      </c>
      <c r="D9287" t="inlineStr">
        <is>
          <t>VÄSTRA GÖTALANDS LÄN</t>
        </is>
      </c>
      <c r="E9287" t="inlineStr">
        <is>
          <t>TRANEMO</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52200-2025</t>
        </is>
      </c>
      <c r="B9288" s="1" t="n">
        <v>45953.40328703704</v>
      </c>
      <c r="C9288" s="1" t="n">
        <v>46011</v>
      </c>
      <c r="D9288" t="inlineStr">
        <is>
          <t>VÄSTRA GÖTALANDS LÄN</t>
        </is>
      </c>
      <c r="E9288" t="inlineStr">
        <is>
          <t>MARK</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58101-2023</t>
        </is>
      </c>
      <c r="B9289" s="1" t="n">
        <v>45249.38699074074</v>
      </c>
      <c r="C9289" s="1" t="n">
        <v>46011</v>
      </c>
      <c r="D9289" t="inlineStr">
        <is>
          <t>VÄSTRA GÖTALANDS LÄN</t>
        </is>
      </c>
      <c r="E9289" t="inlineStr">
        <is>
          <t>TIBRO</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52371-2025</t>
        </is>
      </c>
      <c r="B9290" s="1" t="n">
        <v>45953.89262731482</v>
      </c>
      <c r="C9290" s="1" t="n">
        <v>46011</v>
      </c>
      <c r="D9290" t="inlineStr">
        <is>
          <t>VÄSTRA GÖTALANDS LÄN</t>
        </is>
      </c>
      <c r="E9290" t="inlineStr">
        <is>
          <t>BOLLEBYGD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45908-2021</t>
        </is>
      </c>
      <c r="B9291" s="1" t="n">
        <v>44441.60664351852</v>
      </c>
      <c r="C9291" s="1" t="n">
        <v>46011</v>
      </c>
      <c r="D9291" t="inlineStr">
        <is>
          <t>VÄSTRA GÖTALANDS LÄN</t>
        </is>
      </c>
      <c r="E9291" t="inlineStr">
        <is>
          <t>FALKÖPING</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58868-2025</t>
        </is>
      </c>
      <c r="B9292" s="1" t="n">
        <v>45987.45644675926</v>
      </c>
      <c r="C9292" s="1" t="n">
        <v>46011</v>
      </c>
      <c r="D9292" t="inlineStr">
        <is>
          <t>VÄSTRA GÖTALANDS LÄN</t>
        </is>
      </c>
      <c r="E9292" t="inlineStr">
        <is>
          <t>FÄRGELANDA</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61334-2023</t>
        </is>
      </c>
      <c r="B9293" s="1" t="n">
        <v>45264</v>
      </c>
      <c r="C9293" s="1" t="n">
        <v>46011</v>
      </c>
      <c r="D9293" t="inlineStr">
        <is>
          <t>VÄSTRA GÖTALANDS LÄN</t>
        </is>
      </c>
      <c r="E9293" t="inlineStr">
        <is>
          <t>BENGTSFORS</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61379-2023</t>
        </is>
      </c>
      <c r="B9294" s="1" t="n">
        <v>45264.63784722222</v>
      </c>
      <c r="C9294" s="1" t="n">
        <v>46011</v>
      </c>
      <c r="D9294" t="inlineStr">
        <is>
          <t>VÄSTRA GÖTALANDS LÄN</t>
        </is>
      </c>
      <c r="E9294" t="inlineStr">
        <is>
          <t>MARK</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69446-2021</t>
        </is>
      </c>
      <c r="B9295" s="1" t="n">
        <v>44531</v>
      </c>
      <c r="C9295" s="1" t="n">
        <v>46011</v>
      </c>
      <c r="D9295" t="inlineStr">
        <is>
          <t>VÄSTRA GÖTALANDS LÄN</t>
        </is>
      </c>
      <c r="E9295" t="inlineStr">
        <is>
          <t>TIDAHOLM</t>
        </is>
      </c>
      <c r="F9295" t="inlineStr">
        <is>
          <t>Kyrkan</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6718-2025</t>
        </is>
      </c>
      <c r="B9296" s="1" t="n">
        <v>45700.57475694444</v>
      </c>
      <c r="C9296" s="1" t="n">
        <v>46011</v>
      </c>
      <c r="D9296" t="inlineStr">
        <is>
          <t>VÄSTRA GÖTALANDS LÄN</t>
        </is>
      </c>
      <c r="E9296" t="inlineStr">
        <is>
          <t>FALKÖPING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6720-2025</t>
        </is>
      </c>
      <c r="B9297" s="1" t="n">
        <v>45700.57809027778</v>
      </c>
      <c r="C9297" s="1" t="n">
        <v>46011</v>
      </c>
      <c r="D9297" t="inlineStr">
        <is>
          <t>VÄSTRA GÖTALANDS LÄN</t>
        </is>
      </c>
      <c r="E9297" t="inlineStr">
        <is>
          <t>FALKÖPING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6727-2025</t>
        </is>
      </c>
      <c r="B9298" s="1" t="n">
        <v>45700.58743055556</v>
      </c>
      <c r="C9298" s="1" t="n">
        <v>46011</v>
      </c>
      <c r="D9298" t="inlineStr">
        <is>
          <t>VÄSTRA GÖTALANDS LÄN</t>
        </is>
      </c>
      <c r="E9298" t="inlineStr">
        <is>
          <t>MUNKEDAL</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60380-2025</t>
        </is>
      </c>
      <c r="B9299" s="1" t="n">
        <v>45995.36851851852</v>
      </c>
      <c r="C9299" s="1" t="n">
        <v>46011</v>
      </c>
      <c r="D9299" t="inlineStr">
        <is>
          <t>VÄSTRA GÖTALANDS LÄN</t>
        </is>
      </c>
      <c r="E9299" t="inlineStr">
        <is>
          <t>BOLLEBYGD</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42617-2023</t>
        </is>
      </c>
      <c r="B9300" s="1" t="n">
        <v>45181.47123842593</v>
      </c>
      <c r="C9300" s="1" t="n">
        <v>46011</v>
      </c>
      <c r="D9300" t="inlineStr">
        <is>
          <t>VÄSTRA GÖTALANDS LÄN</t>
        </is>
      </c>
      <c r="E9300" t="inlineStr">
        <is>
          <t>SVENLJUNGA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19255-2025</t>
        </is>
      </c>
      <c r="B9301" s="1" t="n">
        <v>45769.49650462963</v>
      </c>
      <c r="C9301" s="1" t="n">
        <v>46011</v>
      </c>
      <c r="D9301" t="inlineStr">
        <is>
          <t>VÄSTRA GÖTALANDS LÄN</t>
        </is>
      </c>
      <c r="E9301" t="inlineStr">
        <is>
          <t>TRANEMO</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19259-2025</t>
        </is>
      </c>
      <c r="B9302" s="1" t="n">
        <v>45769.50775462963</v>
      </c>
      <c r="C9302" s="1" t="n">
        <v>46011</v>
      </c>
      <c r="D9302" t="inlineStr">
        <is>
          <t>VÄSTRA GÖTALANDS LÄN</t>
        </is>
      </c>
      <c r="E9302" t="inlineStr">
        <is>
          <t>VARA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19261-2025</t>
        </is>
      </c>
      <c r="B9303" s="1" t="n">
        <v>45769.51013888889</v>
      </c>
      <c r="C9303" s="1" t="n">
        <v>46011</v>
      </c>
      <c r="D9303" t="inlineStr">
        <is>
          <t>VÄSTRA GÖTALANDS LÄN</t>
        </is>
      </c>
      <c r="E9303" t="inlineStr">
        <is>
          <t>MARIESTAD</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19268-2025</t>
        </is>
      </c>
      <c r="B9304" s="1" t="n">
        <v>45769.51427083334</v>
      </c>
      <c r="C9304" s="1" t="n">
        <v>46011</v>
      </c>
      <c r="D9304" t="inlineStr">
        <is>
          <t>VÄSTRA GÖTALANDS LÄN</t>
        </is>
      </c>
      <c r="E9304" t="inlineStr">
        <is>
          <t>MARIESTAD</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19306-2025</t>
        </is>
      </c>
      <c r="B9305" s="1" t="n">
        <v>45769.56755787037</v>
      </c>
      <c r="C9305" s="1" t="n">
        <v>46011</v>
      </c>
      <c r="D9305" t="inlineStr">
        <is>
          <t>VÄSTRA GÖTALANDS LÄN</t>
        </is>
      </c>
      <c r="E9305" t="inlineStr">
        <is>
          <t>TIBRO</t>
        </is>
      </c>
      <c r="F9305" t="inlineStr">
        <is>
          <t>Sveaskog</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22518-2023</t>
        </is>
      </c>
      <c r="B9306" s="1" t="n">
        <v>45071</v>
      </c>
      <c r="C9306" s="1" t="n">
        <v>46011</v>
      </c>
      <c r="D9306" t="inlineStr">
        <is>
          <t>VÄSTRA GÖTALANDS LÄN</t>
        </is>
      </c>
      <c r="E9306" t="inlineStr">
        <is>
          <t>MUNKEDAL</t>
        </is>
      </c>
      <c r="F9306" t="inlineStr">
        <is>
          <t>Naturvårdsverket</t>
        </is>
      </c>
      <c r="G9306" t="n">
        <v>15.8</v>
      </c>
      <c r="H9306" t="n">
        <v>0</v>
      </c>
      <c r="I9306" t="n">
        <v>0</v>
      </c>
      <c r="J9306" t="n">
        <v>0</v>
      </c>
      <c r="K9306" t="n">
        <v>0</v>
      </c>
      <c r="L9306" t="n">
        <v>0</v>
      </c>
      <c r="M9306" t="n">
        <v>0</v>
      </c>
      <c r="N9306" t="n">
        <v>0</v>
      </c>
      <c r="O9306" t="n">
        <v>0</v>
      </c>
      <c r="P9306" t="n">
        <v>0</v>
      </c>
      <c r="Q9306" t="n">
        <v>0</v>
      </c>
      <c r="R9306" s="2" t="inlineStr"/>
    </row>
    <row r="9307" ht="15" customHeight="1">
      <c r="A9307" t="inlineStr">
        <is>
          <t>A 22560-2023</t>
        </is>
      </c>
      <c r="B9307" s="1" t="n">
        <v>45071.44758101852</v>
      </c>
      <c r="C9307" s="1" t="n">
        <v>46011</v>
      </c>
      <c r="D9307" t="inlineStr">
        <is>
          <t>VÄSTRA GÖTALANDS LÄN</t>
        </is>
      </c>
      <c r="E9307" t="inlineStr">
        <is>
          <t>STRÖMSTAD</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849-2023</t>
        </is>
      </c>
      <c r="B9308" s="1" t="n">
        <v>44931.57689814815</v>
      </c>
      <c r="C9308" s="1" t="n">
        <v>46011</v>
      </c>
      <c r="D9308" t="inlineStr">
        <is>
          <t>VÄSTRA GÖTALANDS LÄN</t>
        </is>
      </c>
      <c r="E9308" t="inlineStr">
        <is>
          <t>GÖTENE</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49480-2025</t>
        </is>
      </c>
      <c r="B9309" s="1" t="n">
        <v>45939</v>
      </c>
      <c r="C9309" s="1" t="n">
        <v>46011</v>
      </c>
      <c r="D9309" t="inlineStr">
        <is>
          <t>VÄSTRA GÖTALANDS LÄN</t>
        </is>
      </c>
      <c r="E9309" t="inlineStr">
        <is>
          <t>ÅMÅL</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41893-2022</t>
        </is>
      </c>
      <c r="B9310" s="1" t="n">
        <v>44830</v>
      </c>
      <c r="C9310" s="1" t="n">
        <v>46011</v>
      </c>
      <c r="D9310" t="inlineStr">
        <is>
          <t>VÄSTRA GÖTALANDS LÄN</t>
        </is>
      </c>
      <c r="E9310" t="inlineStr">
        <is>
          <t>TROLLHÄTTAN</t>
        </is>
      </c>
      <c r="F9310" t="inlineStr">
        <is>
          <t>Kommuner</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52367-2025</t>
        </is>
      </c>
      <c r="B9311" s="1" t="n">
        <v>45953.85310185186</v>
      </c>
      <c r="C9311" s="1" t="n">
        <v>46011</v>
      </c>
      <c r="D9311" t="inlineStr">
        <is>
          <t>VÄSTRA GÖTALANDS LÄN</t>
        </is>
      </c>
      <c r="E9311" t="inlineStr">
        <is>
          <t>BORÅS</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52378-2025</t>
        </is>
      </c>
      <c r="B9312" s="1" t="n">
        <v>45953.94754629629</v>
      </c>
      <c r="C9312" s="1" t="n">
        <v>46011</v>
      </c>
      <c r="D9312" t="inlineStr">
        <is>
          <t>VÄSTRA GÖTALANDS LÄN</t>
        </is>
      </c>
      <c r="E9312" t="inlineStr">
        <is>
          <t>SVENLJUNGA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43924-2022</t>
        </is>
      </c>
      <c r="B9313" s="1" t="n">
        <v>44838.5358449074</v>
      </c>
      <c r="C9313" s="1" t="n">
        <v>46011</v>
      </c>
      <c r="D9313" t="inlineStr">
        <is>
          <t>VÄSTRA GÖTALANDS LÄN</t>
        </is>
      </c>
      <c r="E9313" t="inlineStr">
        <is>
          <t>GRÄSTORP</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60505-2025</t>
        </is>
      </c>
      <c r="B9314" s="1" t="n">
        <v>45995.62716435185</v>
      </c>
      <c r="C9314" s="1" t="n">
        <v>46011</v>
      </c>
      <c r="D9314" t="inlineStr">
        <is>
          <t>VÄSTRA GÖTALANDS LÄN</t>
        </is>
      </c>
      <c r="E9314" t="inlineStr">
        <is>
          <t>TROLLHÄTTAN</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60543-2025</t>
        </is>
      </c>
      <c r="B9315" s="1" t="n">
        <v>45995.68282407407</v>
      </c>
      <c r="C9315" s="1" t="n">
        <v>46011</v>
      </c>
      <c r="D9315" t="inlineStr">
        <is>
          <t>VÄSTRA GÖTALANDS LÄN</t>
        </is>
      </c>
      <c r="E9315" t="inlineStr">
        <is>
          <t>DALS-ED</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19289-2025</t>
        </is>
      </c>
      <c r="B9316" s="1" t="n">
        <v>45769</v>
      </c>
      <c r="C9316" s="1" t="n">
        <v>46011</v>
      </c>
      <c r="D9316" t="inlineStr">
        <is>
          <t>VÄSTRA GÖTALANDS LÄN</t>
        </is>
      </c>
      <c r="E9316" t="inlineStr">
        <is>
          <t>MUNKEDAL</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17469-2025</t>
        </is>
      </c>
      <c r="B9317" s="1" t="n">
        <v>45757.47178240741</v>
      </c>
      <c r="C9317" s="1" t="n">
        <v>46011</v>
      </c>
      <c r="D9317" t="inlineStr">
        <is>
          <t>VÄSTRA GÖTALANDS LÄN</t>
        </is>
      </c>
      <c r="E9317" t="inlineStr">
        <is>
          <t>LIDKÖPING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58573-2023</t>
        </is>
      </c>
      <c r="B9318" s="1" t="n">
        <v>45251</v>
      </c>
      <c r="C9318" s="1" t="n">
        <v>46011</v>
      </c>
      <c r="D9318" t="inlineStr">
        <is>
          <t>VÄSTRA GÖTALANDS LÄN</t>
        </is>
      </c>
      <c r="E9318" t="inlineStr">
        <is>
          <t>KARLSBORG</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52567-2025</t>
        </is>
      </c>
      <c r="B9319" s="1" t="n">
        <v>45954.59641203703</v>
      </c>
      <c r="C9319" s="1" t="n">
        <v>46011</v>
      </c>
      <c r="D9319" t="inlineStr">
        <is>
          <t>VÄSTRA GÖTALANDS LÄN</t>
        </is>
      </c>
      <c r="E9319" t="inlineStr">
        <is>
          <t>FÄRGELANDA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34653-2024</t>
        </is>
      </c>
      <c r="B9320" s="1" t="n">
        <v>45526</v>
      </c>
      <c r="C9320" s="1" t="n">
        <v>46011</v>
      </c>
      <c r="D9320" t="inlineStr">
        <is>
          <t>VÄSTRA GÖTALANDS LÄN</t>
        </is>
      </c>
      <c r="E9320" t="inlineStr">
        <is>
          <t>SVENLJUNGA</t>
        </is>
      </c>
      <c r="F9320" t="inlineStr">
        <is>
          <t>Kommuner</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30555-2023</t>
        </is>
      </c>
      <c r="B9321" s="1" t="n">
        <v>45111.87844907407</v>
      </c>
      <c r="C9321" s="1" t="n">
        <v>46011</v>
      </c>
      <c r="D9321" t="inlineStr">
        <is>
          <t>VÄSTRA GÖTALANDS LÄN</t>
        </is>
      </c>
      <c r="E9321" t="inlineStr">
        <is>
          <t>MUNKEDAL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20475-2023</t>
        </is>
      </c>
      <c r="B9322" s="1" t="n">
        <v>45057</v>
      </c>
      <c r="C9322" s="1" t="n">
        <v>46011</v>
      </c>
      <c r="D9322" t="inlineStr">
        <is>
          <t>VÄSTRA GÖTALANDS LÄN</t>
        </is>
      </c>
      <c r="E9322" t="inlineStr">
        <is>
          <t>VÅRGÅRDA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30628-2023</t>
        </is>
      </c>
      <c r="B9323" s="1" t="n">
        <v>45112.44275462963</v>
      </c>
      <c r="C9323" s="1" t="n">
        <v>46011</v>
      </c>
      <c r="D9323" t="inlineStr">
        <is>
          <t>VÄSTRA GÖTALANDS LÄN</t>
        </is>
      </c>
      <c r="E9323" t="inlineStr">
        <is>
          <t>BOLLEBYGD</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30643-2023</t>
        </is>
      </c>
      <c r="B9324" s="1" t="n">
        <v>45112.47034722222</v>
      </c>
      <c r="C9324" s="1" t="n">
        <v>46011</v>
      </c>
      <c r="D9324" t="inlineStr">
        <is>
          <t>VÄSTRA GÖTALANDS LÄN</t>
        </is>
      </c>
      <c r="E9324" t="inlineStr">
        <is>
          <t>BOLLEBYGD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60576-2025</t>
        </is>
      </c>
      <c r="B9325" s="1" t="n">
        <v>45996.31261574074</v>
      </c>
      <c r="C9325" s="1" t="n">
        <v>46011</v>
      </c>
      <c r="D9325" t="inlineStr">
        <is>
          <t>VÄSTRA GÖTALANDS LÄN</t>
        </is>
      </c>
      <c r="E9325" t="inlineStr">
        <is>
          <t>HERRLJUNGA</t>
        </is>
      </c>
      <c r="F9325" t="inlineStr">
        <is>
          <t>Sveaskog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60600-2025</t>
        </is>
      </c>
      <c r="B9326" s="1" t="n">
        <v>45996.34907407407</v>
      </c>
      <c r="C9326" s="1" t="n">
        <v>46011</v>
      </c>
      <c r="D9326" t="inlineStr">
        <is>
          <t>VÄSTRA GÖTALANDS LÄN</t>
        </is>
      </c>
      <c r="E9326" t="inlineStr">
        <is>
          <t>BENGTSFORS</t>
        </is>
      </c>
      <c r="F9326" t="inlineStr">
        <is>
          <t>Övriga Aktiebolag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11232-2025</t>
        </is>
      </c>
      <c r="B9327" s="1" t="n">
        <v>45726</v>
      </c>
      <c r="C9327" s="1" t="n">
        <v>46011</v>
      </c>
      <c r="D9327" t="inlineStr">
        <is>
          <t>VÄSTRA GÖTALANDS LÄN</t>
        </is>
      </c>
      <c r="E9327" t="inlineStr">
        <is>
          <t>LERUM</t>
        </is>
      </c>
      <c r="G9327" t="n">
        <v>0.1</v>
      </c>
      <c r="H9327" t="n">
        <v>0</v>
      </c>
      <c r="I9327" t="n">
        <v>0</v>
      </c>
      <c r="J9327" t="n">
        <v>0</v>
      </c>
      <c r="K9327" t="n">
        <v>0</v>
      </c>
      <c r="L9327" t="n">
        <v>0</v>
      </c>
      <c r="M9327" t="n">
        <v>0</v>
      </c>
      <c r="N9327" t="n">
        <v>0</v>
      </c>
      <c r="O9327" t="n">
        <v>0</v>
      </c>
      <c r="P9327" t="n">
        <v>0</v>
      </c>
      <c r="Q9327" t="n">
        <v>0</v>
      </c>
      <c r="R9327" s="2" t="inlineStr"/>
    </row>
    <row r="9328" ht="15" customHeight="1">
      <c r="A9328" t="inlineStr">
        <is>
          <t>A 11234-2025</t>
        </is>
      </c>
      <c r="B9328" s="1" t="n">
        <v>45726.36081018519</v>
      </c>
      <c r="C9328" s="1" t="n">
        <v>46011</v>
      </c>
      <c r="D9328" t="inlineStr">
        <is>
          <t>VÄSTRA GÖTALANDS LÄN</t>
        </is>
      </c>
      <c r="E9328" t="inlineStr">
        <is>
          <t>SVENLJUNGA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52198-2025</t>
        </is>
      </c>
      <c r="B9329" s="1" t="n">
        <v>45953.39973379629</v>
      </c>
      <c r="C9329" s="1" t="n">
        <v>46011</v>
      </c>
      <c r="D9329" t="inlineStr">
        <is>
          <t>VÄSTRA GÖTALANDS LÄN</t>
        </is>
      </c>
      <c r="E9329" t="inlineStr">
        <is>
          <t>MARK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52216-2025</t>
        </is>
      </c>
      <c r="B9330" s="1" t="n">
        <v>45953.42795138889</v>
      </c>
      <c r="C9330" s="1" t="n">
        <v>46011</v>
      </c>
      <c r="D9330" t="inlineStr">
        <is>
          <t>VÄSTRA GÖTALANDS LÄN</t>
        </is>
      </c>
      <c r="E9330" t="inlineStr">
        <is>
          <t>ÅMÅL</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52231-2025</t>
        </is>
      </c>
      <c r="B9331" s="1" t="n">
        <v>45953.44965277778</v>
      </c>
      <c r="C9331" s="1" t="n">
        <v>46011</v>
      </c>
      <c r="D9331" t="inlineStr">
        <is>
          <t>VÄSTRA GÖTALANDS LÄN</t>
        </is>
      </c>
      <c r="E9331" t="inlineStr">
        <is>
          <t>GÖTENE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43870-2024</t>
        </is>
      </c>
      <c r="B9332" s="1" t="n">
        <v>45569</v>
      </c>
      <c r="C9332" s="1" t="n">
        <v>46011</v>
      </c>
      <c r="D9332" t="inlineStr">
        <is>
          <t>VÄSTRA GÖTALANDS LÄN</t>
        </is>
      </c>
      <c r="E9332" t="inlineStr">
        <is>
          <t>BENGTSFORS</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42289-2023</t>
        </is>
      </c>
      <c r="B9333" s="1" t="n">
        <v>45180</v>
      </c>
      <c r="C9333" s="1" t="n">
        <v>46011</v>
      </c>
      <c r="D9333" t="inlineStr">
        <is>
          <t>VÄSTRA GÖTALANDS LÄN</t>
        </is>
      </c>
      <c r="E9333" t="inlineStr">
        <is>
          <t>ULRICEHAMN</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42301-2023</t>
        </is>
      </c>
      <c r="B9334" s="1" t="n">
        <v>45180.44994212963</v>
      </c>
      <c r="C9334" s="1" t="n">
        <v>46011</v>
      </c>
      <c r="D9334" t="inlineStr">
        <is>
          <t>VÄSTRA GÖTALANDS LÄN</t>
        </is>
      </c>
      <c r="E9334" t="inlineStr">
        <is>
          <t>SKARA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43877-2024</t>
        </is>
      </c>
      <c r="B9335" s="1" t="n">
        <v>45572.38883101852</v>
      </c>
      <c r="C9335" s="1" t="n">
        <v>46011</v>
      </c>
      <c r="D9335" t="inlineStr">
        <is>
          <t>VÄSTRA GÖTALANDS LÄN</t>
        </is>
      </c>
      <c r="E9335" t="inlineStr">
        <is>
          <t>SVENLJUNGA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59155-2025</t>
        </is>
      </c>
      <c r="B9336" s="1" t="n">
        <v>45988.53849537037</v>
      </c>
      <c r="C9336" s="1" t="n">
        <v>46011</v>
      </c>
      <c r="D9336" t="inlineStr">
        <is>
          <t>VÄSTRA GÖTALANDS LÄN</t>
        </is>
      </c>
      <c r="E9336" t="inlineStr">
        <is>
          <t>LIDKÖPING</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13542-2025</t>
        </is>
      </c>
      <c r="B9337" s="1" t="n">
        <v>45736.5356712963</v>
      </c>
      <c r="C9337" s="1" t="n">
        <v>46011</v>
      </c>
      <c r="D9337" t="inlineStr">
        <is>
          <t>VÄSTRA GÖTALANDS LÄN</t>
        </is>
      </c>
      <c r="E9337" t="inlineStr">
        <is>
          <t>SVENLJUNGA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23605-2023</t>
        </is>
      </c>
      <c r="B9338" s="1" t="n">
        <v>45072</v>
      </c>
      <c r="C9338" s="1" t="n">
        <v>46011</v>
      </c>
      <c r="D9338" t="inlineStr">
        <is>
          <t>VÄSTRA GÖTALANDS LÄN</t>
        </is>
      </c>
      <c r="E9338" t="inlineStr">
        <is>
          <t>MUNKEDAL</t>
        </is>
      </c>
      <c r="F9338" t="inlineStr">
        <is>
          <t>Kommuner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16987-2025</t>
        </is>
      </c>
      <c r="B9339" s="1" t="n">
        <v>45755.48946759259</v>
      </c>
      <c r="C9339" s="1" t="n">
        <v>46011</v>
      </c>
      <c r="D9339" t="inlineStr">
        <is>
          <t>VÄSTRA GÖTALANDS LÄN</t>
        </is>
      </c>
      <c r="E9339" t="inlineStr">
        <is>
          <t>MARK</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17002-2025</t>
        </is>
      </c>
      <c r="B9340" s="1" t="n">
        <v>45755</v>
      </c>
      <c r="C9340" s="1" t="n">
        <v>46011</v>
      </c>
      <c r="D9340" t="inlineStr">
        <is>
          <t>VÄSTRA GÖTALANDS LÄN</t>
        </is>
      </c>
      <c r="E9340" t="inlineStr">
        <is>
          <t>KARLSBORG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17027-2025</t>
        </is>
      </c>
      <c r="B9341" s="1" t="n">
        <v>45754</v>
      </c>
      <c r="C9341" s="1" t="n">
        <v>46011</v>
      </c>
      <c r="D9341" t="inlineStr">
        <is>
          <t>VÄSTRA GÖTALANDS LÄN</t>
        </is>
      </c>
      <c r="E9341" t="inlineStr">
        <is>
          <t>UDDEVALLA</t>
        </is>
      </c>
      <c r="G9341" t="n">
        <v>12.2</v>
      </c>
      <c r="H9341" t="n">
        <v>0</v>
      </c>
      <c r="I9341" t="n">
        <v>0</v>
      </c>
      <c r="J9341" t="n">
        <v>0</v>
      </c>
      <c r="K9341" t="n">
        <v>0</v>
      </c>
      <c r="L9341" t="n">
        <v>0</v>
      </c>
      <c r="M9341" t="n">
        <v>0</v>
      </c>
      <c r="N9341" t="n">
        <v>0</v>
      </c>
      <c r="O9341" t="n">
        <v>0</v>
      </c>
      <c r="P9341" t="n">
        <v>0</v>
      </c>
      <c r="Q9341" t="n">
        <v>0</v>
      </c>
      <c r="R9341" s="2" t="inlineStr"/>
    </row>
    <row r="9342" ht="15" customHeight="1">
      <c r="A9342" t="inlineStr">
        <is>
          <t>A 51909-2025</t>
        </is>
      </c>
      <c r="B9342" s="1" t="n">
        <v>45951</v>
      </c>
      <c r="C9342" s="1" t="n">
        <v>46011</v>
      </c>
      <c r="D9342" t="inlineStr">
        <is>
          <t>VÄSTRA GÖTALANDS LÄN</t>
        </is>
      </c>
      <c r="E9342" t="inlineStr">
        <is>
          <t>TIDAHOLM</t>
        </is>
      </c>
      <c r="G9342" t="n">
        <v>7.7</v>
      </c>
      <c r="H9342" t="n">
        <v>0</v>
      </c>
      <c r="I9342" t="n">
        <v>0</v>
      </c>
      <c r="J9342" t="n">
        <v>0</v>
      </c>
      <c r="K9342" t="n">
        <v>0</v>
      </c>
      <c r="L9342" t="n">
        <v>0</v>
      </c>
      <c r="M9342" t="n">
        <v>0</v>
      </c>
      <c r="N9342" t="n">
        <v>0</v>
      </c>
      <c r="O9342" t="n">
        <v>0</v>
      </c>
      <c r="P9342" t="n">
        <v>0</v>
      </c>
      <c r="Q9342" t="n">
        <v>0</v>
      </c>
      <c r="R9342" s="2" t="inlineStr"/>
    </row>
    <row r="9343" ht="15" customHeight="1">
      <c r="A9343" t="inlineStr">
        <is>
          <t>A 13576-2025</t>
        </is>
      </c>
      <c r="B9343" s="1" t="n">
        <v>45736.57993055556</v>
      </c>
      <c r="C9343" s="1" t="n">
        <v>46011</v>
      </c>
      <c r="D9343" t="inlineStr">
        <is>
          <t>VÄSTRA GÖTALANDS LÄN</t>
        </is>
      </c>
      <c r="E9343" t="inlineStr">
        <is>
          <t>HERRLJUNGA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67552-2021</t>
        </is>
      </c>
      <c r="B9344" s="1" t="n">
        <v>44524.56443287037</v>
      </c>
      <c r="C9344" s="1" t="n">
        <v>46011</v>
      </c>
      <c r="D9344" t="inlineStr">
        <is>
          <t>VÄSTRA GÖTALANDS LÄN</t>
        </is>
      </c>
      <c r="E9344" t="inlineStr">
        <is>
          <t>HERRLJUNGA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51750-2025</t>
        </is>
      </c>
      <c r="B9345" s="1" t="n">
        <v>45951.61582175926</v>
      </c>
      <c r="C9345" s="1" t="n">
        <v>46011</v>
      </c>
      <c r="D9345" t="inlineStr">
        <is>
          <t>VÄSTRA GÖTALANDS LÄN</t>
        </is>
      </c>
      <c r="E9345" t="inlineStr">
        <is>
          <t>SVENLJUNGA</t>
        </is>
      </c>
      <c r="G9345" t="n">
        <v>7.5</v>
      </c>
      <c r="H9345" t="n">
        <v>0</v>
      </c>
      <c r="I9345" t="n">
        <v>0</v>
      </c>
      <c r="J9345" t="n">
        <v>0</v>
      </c>
      <c r="K9345" t="n">
        <v>0</v>
      </c>
      <c r="L9345" t="n">
        <v>0</v>
      </c>
      <c r="M9345" t="n">
        <v>0</v>
      </c>
      <c r="N9345" t="n">
        <v>0</v>
      </c>
      <c r="O9345" t="n">
        <v>0</v>
      </c>
      <c r="P9345" t="n">
        <v>0</v>
      </c>
      <c r="Q9345" t="n">
        <v>0</v>
      </c>
      <c r="R9345" s="2" t="inlineStr"/>
    </row>
    <row r="9346" ht="15" customHeight="1">
      <c r="A9346" t="inlineStr">
        <is>
          <t>A 52463-2025</t>
        </is>
      </c>
      <c r="B9346" s="1" t="n">
        <v>45954.44090277778</v>
      </c>
      <c r="C9346" s="1" t="n">
        <v>46011</v>
      </c>
      <c r="D9346" t="inlineStr">
        <is>
          <t>VÄSTRA GÖTALANDS LÄN</t>
        </is>
      </c>
      <c r="E9346" t="inlineStr">
        <is>
          <t>SVENLJUNGA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52513-2025</t>
        </is>
      </c>
      <c r="B9347" s="1" t="n">
        <v>45954.50944444445</v>
      </c>
      <c r="C9347" s="1" t="n">
        <v>46011</v>
      </c>
      <c r="D9347" t="inlineStr">
        <is>
          <t>VÄSTRA GÖTALANDS LÄN</t>
        </is>
      </c>
      <c r="E9347" t="inlineStr">
        <is>
          <t>BOLLEBYGD</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52538-2025</t>
        </is>
      </c>
      <c r="B9348" s="1" t="n">
        <v>45954.54539351852</v>
      </c>
      <c r="C9348" s="1" t="n">
        <v>46011</v>
      </c>
      <c r="D9348" t="inlineStr">
        <is>
          <t>VÄSTRA GÖTALANDS LÄN</t>
        </is>
      </c>
      <c r="E9348" t="inlineStr">
        <is>
          <t>BENGTSFORS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17012-2025</t>
        </is>
      </c>
      <c r="B9349" s="1" t="n">
        <v>45755.54912037037</v>
      </c>
      <c r="C9349" s="1" t="n">
        <v>46011</v>
      </c>
      <c r="D9349" t="inlineStr">
        <is>
          <t>VÄSTRA GÖTALANDS LÄN</t>
        </is>
      </c>
      <c r="E9349" t="inlineStr">
        <is>
          <t>MARK</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13398-2025</t>
        </is>
      </c>
      <c r="B9350" s="1" t="n">
        <v>45735.75422453704</v>
      </c>
      <c r="C9350" s="1" t="n">
        <v>46011</v>
      </c>
      <c r="D9350" t="inlineStr">
        <is>
          <t>VÄSTRA GÖTALANDS LÄN</t>
        </is>
      </c>
      <c r="E9350" t="inlineStr">
        <is>
          <t>SVENLJUNGA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17058-2025</t>
        </is>
      </c>
      <c r="B9351" s="1" t="n">
        <v>45754</v>
      </c>
      <c r="C9351" s="1" t="n">
        <v>46011</v>
      </c>
      <c r="D9351" t="inlineStr">
        <is>
          <t>VÄSTRA GÖTALANDS LÄN</t>
        </is>
      </c>
      <c r="E9351" t="inlineStr">
        <is>
          <t>UDDEVALLA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43170-2021</t>
        </is>
      </c>
      <c r="B9352" s="1" t="n">
        <v>44431</v>
      </c>
      <c r="C9352" s="1" t="n">
        <v>46011</v>
      </c>
      <c r="D9352" t="inlineStr">
        <is>
          <t>VÄSTRA GÖTALANDS LÄN</t>
        </is>
      </c>
      <c r="E9352" t="inlineStr">
        <is>
          <t>UDDEVALLA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30441-2023</t>
        </is>
      </c>
      <c r="B9353" s="1" t="n">
        <v>45111.56012731481</v>
      </c>
      <c r="C9353" s="1" t="n">
        <v>46011</v>
      </c>
      <c r="D9353" t="inlineStr">
        <is>
          <t>VÄSTRA GÖTALANDS LÄN</t>
        </is>
      </c>
      <c r="E9353" t="inlineStr">
        <is>
          <t>FALKÖPING</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33027-2024</t>
        </is>
      </c>
      <c r="B9354" s="1" t="n">
        <v>45517.57243055556</v>
      </c>
      <c r="C9354" s="1" t="n">
        <v>46011</v>
      </c>
      <c r="D9354" t="inlineStr">
        <is>
          <t>VÄSTRA GÖTALANDS LÄN</t>
        </is>
      </c>
      <c r="E9354" t="inlineStr">
        <is>
          <t>HERRLJUNGA</t>
        </is>
      </c>
      <c r="F9354" t="inlineStr">
        <is>
          <t>Kyrkan</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33030-2024</t>
        </is>
      </c>
      <c r="B9355" s="1" t="n">
        <v>45517.57771990741</v>
      </c>
      <c r="C9355" s="1" t="n">
        <v>46011</v>
      </c>
      <c r="D9355" t="inlineStr">
        <is>
          <t>VÄSTRA GÖTALANDS LÄN</t>
        </is>
      </c>
      <c r="E9355" t="inlineStr">
        <is>
          <t>MUNKEDAL</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60376-2025</t>
        </is>
      </c>
      <c r="B9356" s="1" t="n">
        <v>45995.36325231481</v>
      </c>
      <c r="C9356" s="1" t="n">
        <v>46011</v>
      </c>
      <c r="D9356" t="inlineStr">
        <is>
          <t>VÄSTRA GÖTALANDS LÄN</t>
        </is>
      </c>
      <c r="E9356" t="inlineStr">
        <is>
          <t>BOLLEBYGD</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46723-2022</t>
        </is>
      </c>
      <c r="B9357" s="1" t="n">
        <v>44851</v>
      </c>
      <c r="C9357" s="1" t="n">
        <v>46011</v>
      </c>
      <c r="D9357" t="inlineStr">
        <is>
          <t>VÄSTRA GÖTALANDS LÄN</t>
        </is>
      </c>
      <c r="E9357" t="inlineStr">
        <is>
          <t>BENGTSFORS</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67233-2021</t>
        </is>
      </c>
      <c r="B9358" s="1" t="n">
        <v>44523</v>
      </c>
      <c r="C9358" s="1" t="n">
        <v>46011</v>
      </c>
      <c r="D9358" t="inlineStr">
        <is>
          <t>VÄSTRA GÖTALANDS LÄN</t>
        </is>
      </c>
      <c r="E9358" t="inlineStr">
        <is>
          <t>MUNKEDAL</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864-2022</t>
        </is>
      </c>
      <c r="B9359" s="1" t="n">
        <v>44571.43929398148</v>
      </c>
      <c r="C9359" s="1" t="n">
        <v>46011</v>
      </c>
      <c r="D9359" t="inlineStr">
        <is>
          <t>VÄSTRA GÖTALANDS LÄN</t>
        </is>
      </c>
      <c r="E9359" t="inlineStr">
        <is>
          <t>BORÅS</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60203-2025</t>
        </is>
      </c>
      <c r="B9360" s="1" t="n">
        <v>45994</v>
      </c>
      <c r="C9360" s="1" t="n">
        <v>46011</v>
      </c>
      <c r="D9360" t="inlineStr">
        <is>
          <t>VÄSTRA GÖTALANDS LÄN</t>
        </is>
      </c>
      <c r="E9360" t="inlineStr">
        <is>
          <t>MELLERUD</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52289-2025</t>
        </is>
      </c>
      <c r="B9361" s="1" t="n">
        <v>45953.59706018519</v>
      </c>
      <c r="C9361" s="1" t="n">
        <v>46011</v>
      </c>
      <c r="D9361" t="inlineStr">
        <is>
          <t>VÄSTRA GÖTALANDS LÄN</t>
        </is>
      </c>
      <c r="E9361" t="inlineStr">
        <is>
          <t>UDDEVALLA</t>
        </is>
      </c>
      <c r="F9361" t="inlineStr">
        <is>
          <t>Kyrkan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52391-2025</t>
        </is>
      </c>
      <c r="B9362" s="1" t="n">
        <v>45954.34305555555</v>
      </c>
      <c r="C9362" s="1" t="n">
        <v>46011</v>
      </c>
      <c r="D9362" t="inlineStr">
        <is>
          <t>VÄSTRA GÖTALANDS LÄN</t>
        </is>
      </c>
      <c r="E9362" t="inlineStr">
        <is>
          <t>ALE</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22631-2022</t>
        </is>
      </c>
      <c r="B9363" s="1" t="n">
        <v>44714.44008101852</v>
      </c>
      <c r="C9363" s="1" t="n">
        <v>46011</v>
      </c>
      <c r="D9363" t="inlineStr">
        <is>
          <t>VÄSTRA GÖTALANDS LÄN</t>
        </is>
      </c>
      <c r="E9363" t="inlineStr">
        <is>
          <t>VÄNERSBORG</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9174-2025</t>
        </is>
      </c>
      <c r="B9364" s="1" t="n">
        <v>45714.41085648148</v>
      </c>
      <c r="C9364" s="1" t="n">
        <v>46011</v>
      </c>
      <c r="D9364" t="inlineStr">
        <is>
          <t>VÄSTRA GÖTALANDS LÄN</t>
        </is>
      </c>
      <c r="E9364" t="inlineStr">
        <is>
          <t>MARK</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30515-2024</t>
        </is>
      </c>
      <c r="B9365" s="1" t="n">
        <v>45492.47263888889</v>
      </c>
      <c r="C9365" s="1" t="n">
        <v>46011</v>
      </c>
      <c r="D9365" t="inlineStr">
        <is>
          <t>VÄSTRA GÖTALANDS LÄN</t>
        </is>
      </c>
      <c r="E9365" t="inlineStr">
        <is>
          <t>SKARA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52374-2025</t>
        </is>
      </c>
      <c r="B9366" s="1" t="n">
        <v>45953.93725694445</v>
      </c>
      <c r="C9366" s="1" t="n">
        <v>46011</v>
      </c>
      <c r="D9366" t="inlineStr">
        <is>
          <t>VÄSTRA GÖTALANDS LÄN</t>
        </is>
      </c>
      <c r="E9366" t="inlineStr">
        <is>
          <t>SVENLJUNGA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25746-2024</t>
        </is>
      </c>
      <c r="B9367" s="1" t="n">
        <v>45465.44144675926</v>
      </c>
      <c r="C9367" s="1" t="n">
        <v>46011</v>
      </c>
      <c r="D9367" t="inlineStr">
        <is>
          <t>VÄSTRA GÖTALANDS LÄN</t>
        </is>
      </c>
      <c r="E9367" t="inlineStr">
        <is>
          <t>ALINGSÅS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12735-2021</t>
        </is>
      </c>
      <c r="B9368" s="1" t="n">
        <v>44270.6375</v>
      </c>
      <c r="C9368" s="1" t="n">
        <v>46011</v>
      </c>
      <c r="D9368" t="inlineStr">
        <is>
          <t>VÄSTRA GÖTALANDS LÄN</t>
        </is>
      </c>
      <c r="E9368" t="inlineStr">
        <is>
          <t>TRANEMO</t>
        </is>
      </c>
      <c r="G9368" t="n">
        <v>10.7</v>
      </c>
      <c r="H9368" t="n">
        <v>0</v>
      </c>
      <c r="I9368" t="n">
        <v>0</v>
      </c>
      <c r="J9368" t="n">
        <v>0</v>
      </c>
      <c r="K9368" t="n">
        <v>0</v>
      </c>
      <c r="L9368" t="n">
        <v>0</v>
      </c>
      <c r="M9368" t="n">
        <v>0</v>
      </c>
      <c r="N9368" t="n">
        <v>0</v>
      </c>
      <c r="O9368" t="n">
        <v>0</v>
      </c>
      <c r="P9368" t="n">
        <v>0</v>
      </c>
      <c r="Q9368" t="n">
        <v>0</v>
      </c>
      <c r="R9368" s="2" t="inlineStr"/>
    </row>
    <row r="9369" ht="15" customHeight="1">
      <c r="A9369" t="inlineStr">
        <is>
          <t>A 52423-2025</t>
        </is>
      </c>
      <c r="B9369" s="1" t="n">
        <v>45954.37650462963</v>
      </c>
      <c r="C9369" s="1" t="n">
        <v>46011</v>
      </c>
      <c r="D9369" t="inlineStr">
        <is>
          <t>VÄSTRA GÖTALANDS LÄN</t>
        </is>
      </c>
      <c r="E9369" t="inlineStr">
        <is>
          <t>ALE</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15217-2025</t>
        </is>
      </c>
      <c r="B9370" s="1" t="n">
        <v>45744.58045138889</v>
      </c>
      <c r="C9370" s="1" t="n">
        <v>46011</v>
      </c>
      <c r="D9370" t="inlineStr">
        <is>
          <t>VÄSTRA GÖTALANDS LÄN</t>
        </is>
      </c>
      <c r="E9370" t="inlineStr">
        <is>
          <t>TANUM</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28162-2022</t>
        </is>
      </c>
      <c r="B9371" s="1" t="n">
        <v>44746.56627314815</v>
      </c>
      <c r="C9371" s="1" t="n">
        <v>46011</v>
      </c>
      <c r="D9371" t="inlineStr">
        <is>
          <t>VÄSTRA GÖTALANDS LÄN</t>
        </is>
      </c>
      <c r="E9371" t="inlineStr">
        <is>
          <t>MARIESTAD</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1687-2024</t>
        </is>
      </c>
      <c r="B9372" s="1" t="n">
        <v>45306</v>
      </c>
      <c r="C9372" s="1" t="n">
        <v>46011</v>
      </c>
      <c r="D9372" t="inlineStr">
        <is>
          <t>VÄSTRA GÖTALANDS LÄN</t>
        </is>
      </c>
      <c r="E9372" t="inlineStr">
        <is>
          <t>ALE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49825-2023</t>
        </is>
      </c>
      <c r="B9373" s="1" t="n">
        <v>45212</v>
      </c>
      <c r="C9373" s="1" t="n">
        <v>46011</v>
      </c>
      <c r="D9373" t="inlineStr">
        <is>
          <t>VÄSTRA GÖTALANDS LÄN</t>
        </is>
      </c>
      <c r="E9373" t="inlineStr">
        <is>
          <t>FÄRGELANDA</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62270-2023</t>
        </is>
      </c>
      <c r="B9374" s="1" t="n">
        <v>45266</v>
      </c>
      <c r="C9374" s="1" t="n">
        <v>46011</v>
      </c>
      <c r="D9374" t="inlineStr">
        <is>
          <t>VÄSTRA GÖTALANDS LÄN</t>
        </is>
      </c>
      <c r="E9374" t="inlineStr">
        <is>
          <t>HERRLJUNGA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53104-2025</t>
        </is>
      </c>
      <c r="B9375" s="1" t="n">
        <v>45958.43296296296</v>
      </c>
      <c r="C9375" s="1" t="n">
        <v>46011</v>
      </c>
      <c r="D9375" t="inlineStr">
        <is>
          <t>VÄSTRA GÖTALANDS LÄN</t>
        </is>
      </c>
      <c r="E9375" t="inlineStr">
        <is>
          <t>MARIESTAD</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41995-2025</t>
        </is>
      </c>
      <c r="B9376" s="1" t="n">
        <v>45903.55027777778</v>
      </c>
      <c r="C9376" s="1" t="n">
        <v>46011</v>
      </c>
      <c r="D9376" t="inlineStr">
        <is>
          <t>VÄSTRA GÖTALANDS LÄN</t>
        </is>
      </c>
      <c r="E9376" t="inlineStr">
        <is>
          <t>HÄRRYDA</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45636-2022</t>
        </is>
      </c>
      <c r="B9377" s="1" t="n">
        <v>44843</v>
      </c>
      <c r="C9377" s="1" t="n">
        <v>46011</v>
      </c>
      <c r="D9377" t="inlineStr">
        <is>
          <t>VÄSTRA GÖTALANDS LÄN</t>
        </is>
      </c>
      <c r="E9377" t="inlineStr">
        <is>
          <t>MARIESTAD</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53275-2025</t>
        </is>
      </c>
      <c r="B9378" s="1" t="n">
        <v>45958.7215625</v>
      </c>
      <c r="C9378" s="1" t="n">
        <v>46011</v>
      </c>
      <c r="D9378" t="inlineStr">
        <is>
          <t>VÄSTRA GÖTALANDS LÄN</t>
        </is>
      </c>
      <c r="E9378" t="inlineStr">
        <is>
          <t>LIDKÖPING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18449-2024</t>
        </is>
      </c>
      <c r="B9379" s="1" t="n">
        <v>45425.46256944445</v>
      </c>
      <c r="C9379" s="1" t="n">
        <v>46011</v>
      </c>
      <c r="D9379" t="inlineStr">
        <is>
          <t>VÄSTRA GÖTALANDS LÄN</t>
        </is>
      </c>
      <c r="E9379" t="inlineStr">
        <is>
          <t>TÖREBODA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18453-2024</t>
        </is>
      </c>
      <c r="B9380" s="1" t="n">
        <v>45425.4653587963</v>
      </c>
      <c r="C9380" s="1" t="n">
        <v>46011</v>
      </c>
      <c r="D9380" t="inlineStr">
        <is>
          <t>VÄSTRA GÖTALANDS LÄN</t>
        </is>
      </c>
      <c r="E9380" t="inlineStr">
        <is>
          <t>DALS-ED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61281-2025</t>
        </is>
      </c>
      <c r="B9381" s="1" t="n">
        <v>46000.70355324074</v>
      </c>
      <c r="C9381" s="1" t="n">
        <v>46011</v>
      </c>
      <c r="D9381" t="inlineStr">
        <is>
          <t>VÄSTRA GÖTALANDS LÄN</t>
        </is>
      </c>
      <c r="E9381" t="inlineStr">
        <is>
          <t>DALS-ED</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22360-2023</t>
        </is>
      </c>
      <c r="B9382" s="1" t="n">
        <v>45070.58734953704</v>
      </c>
      <c r="C9382" s="1" t="n">
        <v>46011</v>
      </c>
      <c r="D9382" t="inlineStr">
        <is>
          <t>VÄSTRA GÖTALANDS LÄN</t>
        </is>
      </c>
      <c r="E9382" t="inlineStr">
        <is>
          <t>MARIESTAD</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826-2023</t>
        </is>
      </c>
      <c r="B9383" s="1" t="n">
        <v>44928</v>
      </c>
      <c r="C9383" s="1" t="n">
        <v>46011</v>
      </c>
      <c r="D9383" t="inlineStr">
        <is>
          <t>VÄSTRA GÖTALANDS LÄN</t>
        </is>
      </c>
      <c r="E9383" t="inlineStr">
        <is>
          <t>MARK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34129-2024</t>
        </is>
      </c>
      <c r="B9384" s="1" t="n">
        <v>45524.34608796296</v>
      </c>
      <c r="C9384" s="1" t="n">
        <v>46011</v>
      </c>
      <c r="D9384" t="inlineStr">
        <is>
          <t>VÄSTRA GÖTALANDS LÄN</t>
        </is>
      </c>
      <c r="E9384" t="inlineStr">
        <is>
          <t>BENGTSFORS</t>
        </is>
      </c>
      <c r="G9384" t="n">
        <v>10.6</v>
      </c>
      <c r="H9384" t="n">
        <v>0</v>
      </c>
      <c r="I9384" t="n">
        <v>0</v>
      </c>
      <c r="J9384" t="n">
        <v>0</v>
      </c>
      <c r="K9384" t="n">
        <v>0</v>
      </c>
      <c r="L9384" t="n">
        <v>0</v>
      </c>
      <c r="M9384" t="n">
        <v>0</v>
      </c>
      <c r="N9384" t="n">
        <v>0</v>
      </c>
      <c r="O9384" t="n">
        <v>0</v>
      </c>
      <c r="P9384" t="n">
        <v>0</v>
      </c>
      <c r="Q9384" t="n">
        <v>0</v>
      </c>
      <c r="R9384" s="2" t="inlineStr"/>
    </row>
    <row r="9385" ht="15" customHeight="1">
      <c r="A9385" t="inlineStr">
        <is>
          <t>A 60979-2025</t>
        </is>
      </c>
      <c r="B9385" s="1" t="n">
        <v>45996</v>
      </c>
      <c r="C9385" s="1" t="n">
        <v>46011</v>
      </c>
      <c r="D9385" t="inlineStr">
        <is>
          <t>VÄSTRA GÖTALANDS LÄN</t>
        </is>
      </c>
      <c r="E9385" t="inlineStr">
        <is>
          <t>BENGTSFORS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52962-2025</t>
        </is>
      </c>
      <c r="B9386" s="1" t="n">
        <v>45957.66422453704</v>
      </c>
      <c r="C9386" s="1" t="n">
        <v>46011</v>
      </c>
      <c r="D9386" t="inlineStr">
        <is>
          <t>VÄSTRA GÖTALANDS LÄN</t>
        </is>
      </c>
      <c r="E9386" t="inlineStr">
        <is>
          <t>BENGTSFORS</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54549-2021</t>
        </is>
      </c>
      <c r="B9387" s="1" t="n">
        <v>44473.558125</v>
      </c>
      <c r="C9387" s="1" t="n">
        <v>46011</v>
      </c>
      <c r="D9387" t="inlineStr">
        <is>
          <t>VÄSTRA GÖTALANDS LÄN</t>
        </is>
      </c>
      <c r="E9387" t="inlineStr">
        <is>
          <t>MARK</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46835-2022</t>
        </is>
      </c>
      <c r="B9388" s="1" t="n">
        <v>44851</v>
      </c>
      <c r="C9388" s="1" t="n">
        <v>46011</v>
      </c>
      <c r="D9388" t="inlineStr">
        <is>
          <t>VÄSTRA GÖTALANDS LÄN</t>
        </is>
      </c>
      <c r="E9388" t="inlineStr">
        <is>
          <t>TRANEMO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46523-2022</t>
        </is>
      </c>
      <c r="B9389" s="1" t="n">
        <v>44847</v>
      </c>
      <c r="C9389" s="1" t="n">
        <v>46011</v>
      </c>
      <c r="D9389" t="inlineStr">
        <is>
          <t>VÄSTRA GÖTALANDS LÄN</t>
        </is>
      </c>
      <c r="E9389" t="inlineStr">
        <is>
          <t>MARIESTAD</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26699-2022</t>
        </is>
      </c>
      <c r="B9390" s="1" t="n">
        <v>44739.72042824074</v>
      </c>
      <c r="C9390" s="1" t="n">
        <v>46011</v>
      </c>
      <c r="D9390" t="inlineStr">
        <is>
          <t>VÄSTRA GÖTALANDS LÄN</t>
        </is>
      </c>
      <c r="E9390" t="inlineStr">
        <is>
          <t>SKÖVDE</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23731-2021</t>
        </is>
      </c>
      <c r="B9391" s="1" t="n">
        <v>44334</v>
      </c>
      <c r="C9391" s="1" t="n">
        <v>46011</v>
      </c>
      <c r="D9391" t="inlineStr">
        <is>
          <t>VÄSTRA GÖTALANDS LÄN</t>
        </is>
      </c>
      <c r="E9391" t="inlineStr">
        <is>
          <t>FALKÖPING</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49150-2023</t>
        </is>
      </c>
      <c r="B9392" s="1" t="n">
        <v>45210.50472222222</v>
      </c>
      <c r="C9392" s="1" t="n">
        <v>46011</v>
      </c>
      <c r="D9392" t="inlineStr">
        <is>
          <t>VÄSTRA GÖTALANDS LÄN</t>
        </is>
      </c>
      <c r="E9392" t="inlineStr">
        <is>
          <t>BORÅS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49154-2023</t>
        </is>
      </c>
      <c r="B9393" s="1" t="n">
        <v>45210</v>
      </c>
      <c r="C9393" s="1" t="n">
        <v>46011</v>
      </c>
      <c r="D9393" t="inlineStr">
        <is>
          <t>VÄSTRA GÖTALANDS LÄN</t>
        </is>
      </c>
      <c r="E9393" t="inlineStr">
        <is>
          <t>BENGTSFORS</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49156-2023</t>
        </is>
      </c>
      <c r="B9394" s="1" t="n">
        <v>45210.51917824074</v>
      </c>
      <c r="C9394" s="1" t="n">
        <v>46011</v>
      </c>
      <c r="D9394" t="inlineStr">
        <is>
          <t>VÄSTRA GÖTALANDS LÄN</t>
        </is>
      </c>
      <c r="E9394" t="inlineStr">
        <is>
          <t>MARIESTAD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20727-2023</t>
        </is>
      </c>
      <c r="B9395" s="1" t="n">
        <v>45058.48152777777</v>
      </c>
      <c r="C9395" s="1" t="n">
        <v>46011</v>
      </c>
      <c r="D9395" t="inlineStr">
        <is>
          <t>VÄSTRA GÖTALANDS LÄN</t>
        </is>
      </c>
      <c r="E9395" t="inlineStr">
        <is>
          <t>HÄRRYDA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52626-2025</t>
        </is>
      </c>
      <c r="B9396" s="1" t="n">
        <v>45954.70637731482</v>
      </c>
      <c r="C9396" s="1" t="n">
        <v>46011</v>
      </c>
      <c r="D9396" t="inlineStr">
        <is>
          <t>VÄSTRA GÖTALANDS LÄN</t>
        </is>
      </c>
      <c r="E9396" t="inlineStr">
        <is>
          <t>ULRICEHAMN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21497-2021</t>
        </is>
      </c>
      <c r="B9397" s="1" t="n">
        <v>44321.5434375</v>
      </c>
      <c r="C9397" s="1" t="n">
        <v>46011</v>
      </c>
      <c r="D9397" t="inlineStr">
        <is>
          <t>VÄSTRA GÖTALANDS LÄN</t>
        </is>
      </c>
      <c r="E9397" t="inlineStr">
        <is>
          <t>SKARA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11648-2025</t>
        </is>
      </c>
      <c r="B9398" s="1" t="n">
        <v>45727.47711805555</v>
      </c>
      <c r="C9398" s="1" t="n">
        <v>46011</v>
      </c>
      <c r="D9398" t="inlineStr">
        <is>
          <t>VÄSTRA GÖTALANDS LÄN</t>
        </is>
      </c>
      <c r="E9398" t="inlineStr">
        <is>
          <t>ULRICEHAMN</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60802-2025</t>
        </is>
      </c>
      <c r="B9399" s="1" t="n">
        <v>45999.43222222223</v>
      </c>
      <c r="C9399" s="1" t="n">
        <v>46011</v>
      </c>
      <c r="D9399" t="inlineStr">
        <is>
          <t>VÄSTRA GÖTALANDS LÄN</t>
        </is>
      </c>
      <c r="E9399" t="inlineStr">
        <is>
          <t>VÅRGÅRDA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11691-2025</t>
        </is>
      </c>
      <c r="B9400" s="1" t="n">
        <v>45727.56306712963</v>
      </c>
      <c r="C9400" s="1" t="n">
        <v>46011</v>
      </c>
      <c r="D9400" t="inlineStr">
        <is>
          <t>VÄSTRA GÖTALANDS LÄN</t>
        </is>
      </c>
      <c r="E9400" t="inlineStr">
        <is>
          <t>LIDKÖPING</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52920-2025</t>
        </is>
      </c>
      <c r="B9401" s="1" t="n">
        <v>45957.6135300926</v>
      </c>
      <c r="C9401" s="1" t="n">
        <v>46011</v>
      </c>
      <c r="D9401" t="inlineStr">
        <is>
          <t>VÄSTRA GÖTALANDS LÄN</t>
        </is>
      </c>
      <c r="E9401" t="inlineStr">
        <is>
          <t>HERRLJUNGA</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60704-2025</t>
        </is>
      </c>
      <c r="B9402" s="1" t="n">
        <v>45996</v>
      </c>
      <c r="C9402" s="1" t="n">
        <v>46011</v>
      </c>
      <c r="D9402" t="inlineStr">
        <is>
          <t>VÄSTRA GÖTALANDS LÄN</t>
        </is>
      </c>
      <c r="E9402" t="inlineStr">
        <is>
          <t>ULRICEHAMN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61133-2025</t>
        </is>
      </c>
      <c r="B9403" s="1" t="n">
        <v>46000.49719907407</v>
      </c>
      <c r="C9403" s="1" t="n">
        <v>46011</v>
      </c>
      <c r="D9403" t="inlineStr">
        <is>
          <t>VÄSTRA GÖTALANDS LÄN</t>
        </is>
      </c>
      <c r="E9403" t="inlineStr">
        <is>
          <t>TIBRO</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17497-2025</t>
        </is>
      </c>
      <c r="B9404" s="1" t="n">
        <v>45757.54159722223</v>
      </c>
      <c r="C9404" s="1" t="n">
        <v>46011</v>
      </c>
      <c r="D9404" t="inlineStr">
        <is>
          <t>VÄSTRA GÖTALANDS LÄN</t>
        </is>
      </c>
      <c r="E9404" t="inlineStr">
        <is>
          <t>TÖREBODA</t>
        </is>
      </c>
      <c r="G9404" t="n">
        <v>49.4</v>
      </c>
      <c r="H9404" t="n">
        <v>0</v>
      </c>
      <c r="I9404" t="n">
        <v>0</v>
      </c>
      <c r="J9404" t="n">
        <v>0</v>
      </c>
      <c r="K9404" t="n">
        <v>0</v>
      </c>
      <c r="L9404" t="n">
        <v>0</v>
      </c>
      <c r="M9404" t="n">
        <v>0</v>
      </c>
      <c r="N9404" t="n">
        <v>0</v>
      </c>
      <c r="O9404" t="n">
        <v>0</v>
      </c>
      <c r="P9404" t="n">
        <v>0</v>
      </c>
      <c r="Q9404" t="n">
        <v>0</v>
      </c>
      <c r="R9404" s="2" t="inlineStr"/>
    </row>
    <row r="9405" ht="15" customHeight="1">
      <c r="A9405" t="inlineStr">
        <is>
          <t>A 60933-2025</t>
        </is>
      </c>
      <c r="B9405" s="1" t="n">
        <v>45999.63880787037</v>
      </c>
      <c r="C9405" s="1" t="n">
        <v>46011</v>
      </c>
      <c r="D9405" t="inlineStr">
        <is>
          <t>VÄSTRA GÖTALANDS LÄN</t>
        </is>
      </c>
      <c r="E9405" t="inlineStr">
        <is>
          <t>BENGTSFORS</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60981-2025</t>
        </is>
      </c>
      <c r="B9406" s="1" t="n">
        <v>45999.70361111111</v>
      </c>
      <c r="C9406" s="1" t="n">
        <v>46011</v>
      </c>
      <c r="D9406" t="inlineStr">
        <is>
          <t>VÄSTRA GÖTALANDS LÄN</t>
        </is>
      </c>
      <c r="E9406" t="inlineStr">
        <is>
          <t>VÅRGÅRDA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60024-2025</t>
        </is>
      </c>
      <c r="B9407" s="1" t="n">
        <v>45992</v>
      </c>
      <c r="C9407" s="1" t="n">
        <v>46011</v>
      </c>
      <c r="D9407" t="inlineStr">
        <is>
          <t>VÄSTRA GÖTALANDS LÄN</t>
        </is>
      </c>
      <c r="E9407" t="inlineStr">
        <is>
          <t>GÖTEBORG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50830-2022</t>
        </is>
      </c>
      <c r="B9408" s="1" t="n">
        <v>44867</v>
      </c>
      <c r="C9408" s="1" t="n">
        <v>46011</v>
      </c>
      <c r="D9408" t="inlineStr">
        <is>
          <t>VÄSTRA GÖTALANDS LÄN</t>
        </is>
      </c>
      <c r="E9408" t="inlineStr">
        <is>
          <t>TRANEMO</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43430-2021</t>
        </is>
      </c>
      <c r="B9409" s="1" t="n">
        <v>44432</v>
      </c>
      <c r="C9409" s="1" t="n">
        <v>46011</v>
      </c>
      <c r="D9409" t="inlineStr">
        <is>
          <t>VÄSTRA GÖTALANDS LÄN</t>
        </is>
      </c>
      <c r="E9409" t="inlineStr">
        <is>
          <t>SVENLJUNGA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20542-2024</t>
        </is>
      </c>
      <c r="B9410" s="1" t="n">
        <v>45436</v>
      </c>
      <c r="C9410" s="1" t="n">
        <v>46011</v>
      </c>
      <c r="D9410" t="inlineStr">
        <is>
          <t>VÄSTRA GÖTALANDS LÄN</t>
        </is>
      </c>
      <c r="E9410" t="inlineStr">
        <is>
          <t>GULLSPÅNG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62542-2022</t>
        </is>
      </c>
      <c r="B9411" s="1" t="n">
        <v>44924.68337962963</v>
      </c>
      <c r="C9411" s="1" t="n">
        <v>46011</v>
      </c>
      <c r="D9411" t="inlineStr">
        <is>
          <t>VÄSTRA GÖTALANDS LÄN</t>
        </is>
      </c>
      <c r="E9411" t="inlineStr">
        <is>
          <t>TÖREBODA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60968-2025</t>
        </is>
      </c>
      <c r="B9412" s="1" t="n">
        <v>45999.68519675926</v>
      </c>
      <c r="C9412" s="1" t="n">
        <v>46011</v>
      </c>
      <c r="D9412" t="inlineStr">
        <is>
          <t>VÄSTRA GÖTALANDS LÄN</t>
        </is>
      </c>
      <c r="E9412" t="inlineStr">
        <is>
          <t>SKÖVDE</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22968-2023</t>
        </is>
      </c>
      <c r="B9413" s="1" t="n">
        <v>45072.69234953704</v>
      </c>
      <c r="C9413" s="1" t="n">
        <v>46011</v>
      </c>
      <c r="D9413" t="inlineStr">
        <is>
          <t>VÄSTRA GÖTALANDS LÄN</t>
        </is>
      </c>
      <c r="E9413" t="inlineStr">
        <is>
          <t>BENGTSFORS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19370-2023</t>
        </is>
      </c>
      <c r="B9414" s="1" t="n">
        <v>45049</v>
      </c>
      <c r="C9414" s="1" t="n">
        <v>46011</v>
      </c>
      <c r="D9414" t="inlineStr">
        <is>
          <t>VÄSTRA GÖTALANDS LÄN</t>
        </is>
      </c>
      <c r="E9414" t="inlineStr">
        <is>
          <t>DALS-ED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19373-2023</t>
        </is>
      </c>
      <c r="B9415" s="1" t="n">
        <v>45049.6524537037</v>
      </c>
      <c r="C9415" s="1" t="n">
        <v>46011</v>
      </c>
      <c r="D9415" t="inlineStr">
        <is>
          <t>VÄSTRA GÖTALANDS LÄN</t>
        </is>
      </c>
      <c r="E9415" t="inlineStr">
        <is>
          <t>DALS-ED</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70945-2021</t>
        </is>
      </c>
      <c r="B9416" s="1" t="n">
        <v>44538.50564814815</v>
      </c>
      <c r="C9416" s="1" t="n">
        <v>46011</v>
      </c>
      <c r="D9416" t="inlineStr">
        <is>
          <t>VÄSTRA GÖTALANDS LÄN</t>
        </is>
      </c>
      <c r="E9416" t="inlineStr">
        <is>
          <t>KARLSBORG</t>
        </is>
      </c>
      <c r="F9416" t="inlineStr">
        <is>
          <t>Övriga Aktiebolag</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69114-2021</t>
        </is>
      </c>
      <c r="B9417" s="1" t="n">
        <v>44530</v>
      </c>
      <c r="C9417" s="1" t="n">
        <v>46011</v>
      </c>
      <c r="D9417" t="inlineStr">
        <is>
          <t>VÄSTRA GÖTALANDS LÄN</t>
        </is>
      </c>
      <c r="E9417" t="inlineStr">
        <is>
          <t>ULRICEHAMN</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52408-2025</t>
        </is>
      </c>
      <c r="B9418" s="1" t="n">
        <v>45954.35903935185</v>
      </c>
      <c r="C9418" s="1" t="n">
        <v>46011</v>
      </c>
      <c r="D9418" t="inlineStr">
        <is>
          <t>VÄSTRA GÖTALANDS LÄN</t>
        </is>
      </c>
      <c r="E9418" t="inlineStr">
        <is>
          <t>TANUM</t>
        </is>
      </c>
      <c r="G9418" t="n">
        <v>12.9</v>
      </c>
      <c r="H9418" t="n">
        <v>0</v>
      </c>
      <c r="I9418" t="n">
        <v>0</v>
      </c>
      <c r="J9418" t="n">
        <v>0</v>
      </c>
      <c r="K9418" t="n">
        <v>0</v>
      </c>
      <c r="L9418" t="n">
        <v>0</v>
      </c>
      <c r="M9418" t="n">
        <v>0</v>
      </c>
      <c r="N9418" t="n">
        <v>0</v>
      </c>
      <c r="O9418" t="n">
        <v>0</v>
      </c>
      <c r="P9418" t="n">
        <v>0</v>
      </c>
      <c r="Q9418" t="n">
        <v>0</v>
      </c>
      <c r="R9418" s="2" t="inlineStr"/>
    </row>
    <row r="9419" ht="15" customHeight="1">
      <c r="A9419" t="inlineStr">
        <is>
          <t>A 36399-2024</t>
        </is>
      </c>
      <c r="B9419" s="1" t="n">
        <v>45535.51828703703</v>
      </c>
      <c r="C9419" s="1" t="n">
        <v>46011</v>
      </c>
      <c r="D9419" t="inlineStr">
        <is>
          <t>VÄSTRA GÖTALANDS LÄN</t>
        </is>
      </c>
      <c r="E9419" t="inlineStr">
        <is>
          <t>MARIESTAD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52536-2025</t>
        </is>
      </c>
      <c r="B9420" s="1" t="n">
        <v>45954.54416666667</v>
      </c>
      <c r="C9420" s="1" t="n">
        <v>46011</v>
      </c>
      <c r="D9420" t="inlineStr">
        <is>
          <t>VÄSTRA GÖTALANDS LÄN</t>
        </is>
      </c>
      <c r="E9420" t="inlineStr">
        <is>
          <t>ULRICEHAMN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36404-2024</t>
        </is>
      </c>
      <c r="B9421" s="1" t="n">
        <v>45535.70535879629</v>
      </c>
      <c r="C9421" s="1" t="n">
        <v>46011</v>
      </c>
      <c r="D9421" t="inlineStr">
        <is>
          <t>VÄSTRA GÖTALANDS LÄN</t>
        </is>
      </c>
      <c r="E9421" t="inlineStr">
        <is>
          <t>ORUST</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53249-2025</t>
        </is>
      </c>
      <c r="B9422" s="1" t="n">
        <v>45958</v>
      </c>
      <c r="C9422" s="1" t="n">
        <v>46011</v>
      </c>
      <c r="D9422" t="inlineStr">
        <is>
          <t>VÄSTRA GÖTALANDS LÄN</t>
        </is>
      </c>
      <c r="E9422" t="inlineStr">
        <is>
          <t>BORÅS</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56626-2023</t>
        </is>
      </c>
      <c r="B9423" s="1" t="n">
        <v>45243.69475694445</v>
      </c>
      <c r="C9423" s="1" t="n">
        <v>46011</v>
      </c>
      <c r="D9423" t="inlineStr">
        <is>
          <t>VÄSTRA GÖTALANDS LÄN</t>
        </is>
      </c>
      <c r="E9423" t="inlineStr">
        <is>
          <t>SVENLJUNGA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74340-2021</t>
        </is>
      </c>
      <c r="B9424" s="1" t="n">
        <v>44559.48967592593</v>
      </c>
      <c r="C9424" s="1" t="n">
        <v>46011</v>
      </c>
      <c r="D9424" t="inlineStr">
        <is>
          <t>VÄSTRA GÖTALANDS LÄN</t>
        </is>
      </c>
      <c r="E9424" t="inlineStr">
        <is>
          <t>TIDAHOLM</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59893-2025</t>
        </is>
      </c>
      <c r="B9425" s="1" t="n">
        <v>45992</v>
      </c>
      <c r="C9425" s="1" t="n">
        <v>46011</v>
      </c>
      <c r="D9425" t="inlineStr">
        <is>
          <t>VÄSTRA GÖTALANDS LÄN</t>
        </is>
      </c>
      <c r="E9425" t="inlineStr">
        <is>
          <t>SKÖVDE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56717-2023</t>
        </is>
      </c>
      <c r="B9426" s="1" t="n">
        <v>45244</v>
      </c>
      <c r="C9426" s="1" t="n">
        <v>46011</v>
      </c>
      <c r="D9426" t="inlineStr">
        <is>
          <t>VÄSTRA GÖTALANDS LÄN</t>
        </is>
      </c>
      <c r="E9426" t="inlineStr">
        <is>
          <t>ULRICEHAMN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53051-2025</t>
        </is>
      </c>
      <c r="B9427" s="1" t="n">
        <v>45958.36256944444</v>
      </c>
      <c r="C9427" s="1" t="n">
        <v>46011</v>
      </c>
      <c r="D9427" t="inlineStr">
        <is>
          <t>VÄSTRA GÖTALANDS LÄN</t>
        </is>
      </c>
      <c r="E9427" t="inlineStr">
        <is>
          <t>DALS-ED</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53053-2025</t>
        </is>
      </c>
      <c r="B9428" s="1" t="n">
        <v>45958.36354166667</v>
      </c>
      <c r="C9428" s="1" t="n">
        <v>46011</v>
      </c>
      <c r="D9428" t="inlineStr">
        <is>
          <t>VÄSTRA GÖTALANDS LÄN</t>
        </is>
      </c>
      <c r="E9428" t="inlineStr">
        <is>
          <t>DALS-ED</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26440-2023</t>
        </is>
      </c>
      <c r="B9429" s="1" t="n">
        <v>45092</v>
      </c>
      <c r="C9429" s="1" t="n">
        <v>46011</v>
      </c>
      <c r="D9429" t="inlineStr">
        <is>
          <t>VÄSTRA GÖTALANDS LÄN</t>
        </is>
      </c>
      <c r="E9429" t="inlineStr">
        <is>
          <t>UDDEVALLA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53153-2025</t>
        </is>
      </c>
      <c r="B9430" s="1" t="n">
        <v>45958.48887731481</v>
      </c>
      <c r="C9430" s="1" t="n">
        <v>46011</v>
      </c>
      <c r="D9430" t="inlineStr">
        <is>
          <t>VÄSTRA GÖTALANDS LÄN</t>
        </is>
      </c>
      <c r="E9430" t="inlineStr">
        <is>
          <t>SKÖVDE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53159-2025</t>
        </is>
      </c>
      <c r="B9431" s="1" t="n">
        <v>45958.49119212963</v>
      </c>
      <c r="C9431" s="1" t="n">
        <v>46011</v>
      </c>
      <c r="D9431" t="inlineStr">
        <is>
          <t>VÄSTRA GÖTALANDS LÄN</t>
        </is>
      </c>
      <c r="E9431" t="inlineStr">
        <is>
          <t>FALKÖPING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60154-2025</t>
        </is>
      </c>
      <c r="B9432" s="1" t="n">
        <v>45994</v>
      </c>
      <c r="C9432" s="1" t="n">
        <v>46011</v>
      </c>
      <c r="D9432" t="inlineStr">
        <is>
          <t>VÄSTRA GÖTALANDS LÄN</t>
        </is>
      </c>
      <c r="E9432" t="inlineStr">
        <is>
          <t>ULRICEHAMN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16282-2025</t>
        </is>
      </c>
      <c r="B9433" s="1" t="n">
        <v>45751.29126157407</v>
      </c>
      <c r="C9433" s="1" t="n">
        <v>46011</v>
      </c>
      <c r="D9433" t="inlineStr">
        <is>
          <t>VÄSTRA GÖTALANDS LÄN</t>
        </is>
      </c>
      <c r="E9433" t="inlineStr">
        <is>
          <t>VÅRGÅRDA</t>
        </is>
      </c>
      <c r="F9433" t="inlineStr">
        <is>
          <t>Sveaskog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52825-2025</t>
        </is>
      </c>
      <c r="B9434" s="1" t="n">
        <v>45957.46645833334</v>
      </c>
      <c r="C9434" s="1" t="n">
        <v>46011</v>
      </c>
      <c r="D9434" t="inlineStr">
        <is>
          <t>VÄSTRA GÖTALANDS LÄN</t>
        </is>
      </c>
      <c r="E9434" t="inlineStr">
        <is>
          <t>HJO</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2524-2023</t>
        </is>
      </c>
      <c r="B9435" s="1" t="n">
        <v>44943</v>
      </c>
      <c r="C9435" s="1" t="n">
        <v>46011</v>
      </c>
      <c r="D9435" t="inlineStr">
        <is>
          <t>VÄSTRA GÖTALANDS LÄN</t>
        </is>
      </c>
      <c r="E9435" t="inlineStr">
        <is>
          <t>BENGTSFORS</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2551-2023</t>
        </is>
      </c>
      <c r="B9436" s="1" t="n">
        <v>44943.665625</v>
      </c>
      <c r="C9436" s="1" t="n">
        <v>46011</v>
      </c>
      <c r="D9436" t="inlineStr">
        <is>
          <t>VÄSTRA GÖTALANDS LÄN</t>
        </is>
      </c>
      <c r="E9436" t="inlineStr">
        <is>
          <t>MARIESTAD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42710-2024</t>
        </is>
      </c>
      <c r="B9437" s="1" t="n">
        <v>45566.44601851852</v>
      </c>
      <c r="C9437" s="1" t="n">
        <v>46011</v>
      </c>
      <c r="D9437" t="inlineStr">
        <is>
          <t>VÄSTRA GÖTALANDS LÄN</t>
        </is>
      </c>
      <c r="E9437" t="inlineStr">
        <is>
          <t>KARLSBORG</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52554-2025</t>
        </is>
      </c>
      <c r="B9438" s="1" t="n">
        <v>45954.56371527778</v>
      </c>
      <c r="C9438" s="1" t="n">
        <v>46011</v>
      </c>
      <c r="D9438" t="inlineStr">
        <is>
          <t>VÄSTRA GÖTALANDS LÄN</t>
        </is>
      </c>
      <c r="E9438" t="inlineStr">
        <is>
          <t>ULRICEHAMN</t>
        </is>
      </c>
      <c r="F9438" t="inlineStr">
        <is>
          <t>Sveaskog</t>
        </is>
      </c>
      <c r="G9438" t="n">
        <v>20.3</v>
      </c>
      <c r="H9438" t="n">
        <v>0</v>
      </c>
      <c r="I9438" t="n">
        <v>0</v>
      </c>
      <c r="J9438" t="n">
        <v>0</v>
      </c>
      <c r="K9438" t="n">
        <v>0</v>
      </c>
      <c r="L9438" t="n">
        <v>0</v>
      </c>
      <c r="M9438" t="n">
        <v>0</v>
      </c>
      <c r="N9438" t="n">
        <v>0</v>
      </c>
      <c r="O9438" t="n">
        <v>0</v>
      </c>
      <c r="P9438" t="n">
        <v>0</v>
      </c>
      <c r="Q9438" t="n">
        <v>0</v>
      </c>
      <c r="R9438" s="2" t="inlineStr"/>
    </row>
    <row r="9439" ht="15" customHeight="1">
      <c r="A9439" t="inlineStr">
        <is>
          <t>A 16703-2025</t>
        </is>
      </c>
      <c r="B9439" s="1" t="n">
        <v>45754.46989583333</v>
      </c>
      <c r="C9439" s="1" t="n">
        <v>46011</v>
      </c>
      <c r="D9439" t="inlineStr">
        <is>
          <t>VÄSTRA GÖTALANDS LÄN</t>
        </is>
      </c>
      <c r="E9439" t="inlineStr">
        <is>
          <t>TÖREBODA</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16716-2025</t>
        </is>
      </c>
      <c r="B9440" s="1" t="n">
        <v>45754.48701388889</v>
      </c>
      <c r="C9440" s="1" t="n">
        <v>46011</v>
      </c>
      <c r="D9440" t="inlineStr">
        <is>
          <t>VÄSTRA GÖTALANDS LÄN</t>
        </is>
      </c>
      <c r="E9440" t="inlineStr">
        <is>
          <t>SKÖVDE</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54560-2023</t>
        </is>
      </c>
      <c r="B9441" s="1" t="n">
        <v>45233</v>
      </c>
      <c r="C9441" s="1" t="n">
        <v>46011</v>
      </c>
      <c r="D9441" t="inlineStr">
        <is>
          <t>VÄSTRA GÖTALANDS LÄN</t>
        </is>
      </c>
      <c r="E9441" t="inlineStr">
        <is>
          <t>BENGTSFORS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54563-2023</t>
        </is>
      </c>
      <c r="B9442" s="1" t="n">
        <v>45233.64104166667</v>
      </c>
      <c r="C9442" s="1" t="n">
        <v>46011</v>
      </c>
      <c r="D9442" t="inlineStr">
        <is>
          <t>VÄSTRA GÖTALANDS LÄN</t>
        </is>
      </c>
      <c r="E9442" t="inlineStr">
        <is>
          <t>HERRLJUNGA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50336-2024</t>
        </is>
      </c>
      <c r="B9443" s="1" t="n">
        <v>45600.71142361111</v>
      </c>
      <c r="C9443" s="1" t="n">
        <v>46011</v>
      </c>
      <c r="D9443" t="inlineStr">
        <is>
          <t>VÄSTRA GÖTALANDS LÄN</t>
        </is>
      </c>
      <c r="E9443" t="inlineStr">
        <is>
          <t>MELLERUD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54587-2023</t>
        </is>
      </c>
      <c r="B9444" s="1" t="n">
        <v>45233</v>
      </c>
      <c r="C9444" s="1" t="n">
        <v>46011</v>
      </c>
      <c r="D9444" t="inlineStr">
        <is>
          <t>VÄSTRA GÖTALANDS LÄN</t>
        </is>
      </c>
      <c r="E9444" t="inlineStr">
        <is>
          <t>VÅRGÅRDA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39428-2024</t>
        </is>
      </c>
      <c r="B9445" s="1" t="n">
        <v>45551.58702546296</v>
      </c>
      <c r="C9445" s="1" t="n">
        <v>46011</v>
      </c>
      <c r="D9445" t="inlineStr">
        <is>
          <t>VÄSTRA GÖTALANDS LÄN</t>
        </is>
      </c>
      <c r="E9445" t="inlineStr">
        <is>
          <t>TRANEMO</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39431-2024</t>
        </is>
      </c>
      <c r="B9446" s="1" t="n">
        <v>45551.59837962963</v>
      </c>
      <c r="C9446" s="1" t="n">
        <v>46011</v>
      </c>
      <c r="D9446" t="inlineStr">
        <is>
          <t>VÄSTRA GÖTALANDS LÄN</t>
        </is>
      </c>
      <c r="E9446" t="inlineStr">
        <is>
          <t>UDDEVALLA</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3493-2022</t>
        </is>
      </c>
      <c r="B9447" s="1" t="n">
        <v>44585</v>
      </c>
      <c r="C9447" s="1" t="n">
        <v>46011</v>
      </c>
      <c r="D9447" t="inlineStr">
        <is>
          <t>VÄSTRA GÖTALANDS LÄN</t>
        </is>
      </c>
      <c r="E9447" t="inlineStr">
        <is>
          <t>TANUM</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53191-2025</t>
        </is>
      </c>
      <c r="B9448" s="1" t="n">
        <v>45958.56690972222</v>
      </c>
      <c r="C9448" s="1" t="n">
        <v>46011</v>
      </c>
      <c r="D9448" t="inlineStr">
        <is>
          <t>VÄSTRA GÖTALANDS LÄN</t>
        </is>
      </c>
      <c r="E9448" t="inlineStr">
        <is>
          <t>LYSEKIL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50024-2024</t>
        </is>
      </c>
      <c r="B9449" s="1" t="n">
        <v>45599.53886574074</v>
      </c>
      <c r="C9449" s="1" t="n">
        <v>46011</v>
      </c>
      <c r="D9449" t="inlineStr">
        <is>
          <t>VÄSTRA GÖTALANDS LÄN</t>
        </is>
      </c>
      <c r="E9449" t="inlineStr">
        <is>
          <t>BORÅS</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50048-2024</t>
        </is>
      </c>
      <c r="B9450" s="1" t="n">
        <v>45597</v>
      </c>
      <c r="C9450" s="1" t="n">
        <v>46011</v>
      </c>
      <c r="D9450" t="inlineStr">
        <is>
          <t>VÄSTRA GÖTALANDS LÄN</t>
        </is>
      </c>
      <c r="E9450" t="inlineStr">
        <is>
          <t>TANUM</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60725-2025</t>
        </is>
      </c>
      <c r="B9451" s="1" t="n">
        <v>45996</v>
      </c>
      <c r="C9451" s="1" t="n">
        <v>46011</v>
      </c>
      <c r="D9451" t="inlineStr">
        <is>
          <t>VÄSTRA GÖTALANDS LÄN</t>
        </is>
      </c>
      <c r="E9451" t="inlineStr">
        <is>
          <t>ALINGSÅS</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52628-2025</t>
        </is>
      </c>
      <c r="B9452" s="1" t="n">
        <v>45954.71049768518</v>
      </c>
      <c r="C9452" s="1" t="n">
        <v>46011</v>
      </c>
      <c r="D9452" t="inlineStr">
        <is>
          <t>VÄSTRA GÖTALANDS LÄN</t>
        </is>
      </c>
      <c r="E9452" t="inlineStr">
        <is>
          <t>ULRICEHAMN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52638-2025</t>
        </is>
      </c>
      <c r="B9453" s="1" t="n">
        <v>45954.77373842592</v>
      </c>
      <c r="C9453" s="1" t="n">
        <v>46011</v>
      </c>
      <c r="D9453" t="inlineStr">
        <is>
          <t>VÄSTRA GÖTALANDS LÄN</t>
        </is>
      </c>
      <c r="E9453" t="inlineStr">
        <is>
          <t>TÖREBODA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52639-2025</t>
        </is>
      </c>
      <c r="B9454" s="1" t="n">
        <v>45954.77623842593</v>
      </c>
      <c r="C9454" s="1" t="n">
        <v>46011</v>
      </c>
      <c r="D9454" t="inlineStr">
        <is>
          <t>VÄSTRA GÖTALANDS LÄN</t>
        </is>
      </c>
      <c r="E9454" t="inlineStr">
        <is>
          <t>TÖREBODA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4259-2022</t>
        </is>
      </c>
      <c r="B9455" s="1" t="n">
        <v>44588.67795138889</v>
      </c>
      <c r="C9455" s="1" t="n">
        <v>46011</v>
      </c>
      <c r="D9455" t="inlineStr">
        <is>
          <t>VÄSTRA GÖTALANDS LÄN</t>
        </is>
      </c>
      <c r="E9455" t="inlineStr">
        <is>
          <t>MUNKEDAL</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37328-2024</t>
        </is>
      </c>
      <c r="B9456" s="1" t="n">
        <v>45540.50850694445</v>
      </c>
      <c r="C9456" s="1" t="n">
        <v>46011</v>
      </c>
      <c r="D9456" t="inlineStr">
        <is>
          <t>VÄSTRA GÖTALANDS LÄN</t>
        </is>
      </c>
      <c r="E9456" t="inlineStr">
        <is>
          <t>ULRICEHAMN</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52725-2025</t>
        </is>
      </c>
      <c r="B9457" s="1" t="n">
        <v>45957.34657407407</v>
      </c>
      <c r="C9457" s="1" t="n">
        <v>46011</v>
      </c>
      <c r="D9457" t="inlineStr">
        <is>
          <t>VÄSTRA GÖTALANDS LÄN</t>
        </is>
      </c>
      <c r="E9457" t="inlineStr">
        <is>
          <t>FÄRGELANDA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24950-2023</t>
        </is>
      </c>
      <c r="B9458" s="1" t="n">
        <v>45085.57719907408</v>
      </c>
      <c r="C9458" s="1" t="n">
        <v>46011</v>
      </c>
      <c r="D9458" t="inlineStr">
        <is>
          <t>VÄSTRA GÖTALANDS LÄN</t>
        </is>
      </c>
      <c r="E9458" t="inlineStr">
        <is>
          <t>HERRLJUNGA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60846-2025</t>
        </is>
      </c>
      <c r="B9459" s="1" t="n">
        <v>45999.49892361111</v>
      </c>
      <c r="C9459" s="1" t="n">
        <v>46011</v>
      </c>
      <c r="D9459" t="inlineStr">
        <is>
          <t>VÄSTRA GÖTALANDS LÄN</t>
        </is>
      </c>
      <c r="E9459" t="inlineStr">
        <is>
          <t>TANUM</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52915-2025</t>
        </is>
      </c>
      <c r="B9460" s="1" t="n">
        <v>45957.60747685185</v>
      </c>
      <c r="C9460" s="1" t="n">
        <v>46011</v>
      </c>
      <c r="D9460" t="inlineStr">
        <is>
          <t>VÄSTRA GÖTALANDS LÄN</t>
        </is>
      </c>
      <c r="E9460" t="inlineStr">
        <is>
          <t>MARK</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53222-2025</t>
        </is>
      </c>
      <c r="B9461" s="1" t="n">
        <v>45958.6034375</v>
      </c>
      <c r="C9461" s="1" t="n">
        <v>46011</v>
      </c>
      <c r="D9461" t="inlineStr">
        <is>
          <t>VÄSTRA GÖTALANDS LÄN</t>
        </is>
      </c>
      <c r="E9461" t="inlineStr">
        <is>
          <t>ALINGSÅS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53223-2025</t>
        </is>
      </c>
      <c r="B9462" s="1" t="n">
        <v>45958.60418981482</v>
      </c>
      <c r="C9462" s="1" t="n">
        <v>46011</v>
      </c>
      <c r="D9462" t="inlineStr">
        <is>
          <t>VÄSTRA GÖTALANDS LÄN</t>
        </is>
      </c>
      <c r="E9462" t="inlineStr">
        <is>
          <t>ALINGSÅS</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61120-2025</t>
        </is>
      </c>
      <c r="B9463" s="1" t="n">
        <v>46000.46729166667</v>
      </c>
      <c r="C9463" s="1" t="n">
        <v>46011</v>
      </c>
      <c r="D9463" t="inlineStr">
        <is>
          <t>VÄSTRA GÖTALANDS LÄN</t>
        </is>
      </c>
      <c r="E9463" t="inlineStr">
        <is>
          <t>VÄNERSBORG</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16895-2023</t>
        </is>
      </c>
      <c r="B9464" s="1" t="n">
        <v>45033.56310185185</v>
      </c>
      <c r="C9464" s="1" t="n">
        <v>46011</v>
      </c>
      <c r="D9464" t="inlineStr">
        <is>
          <t>VÄSTRA GÖTALANDS LÄN</t>
        </is>
      </c>
      <c r="E9464" t="inlineStr">
        <is>
          <t>ULRICEHAMN</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73437-2021</t>
        </is>
      </c>
      <c r="B9465" s="1" t="n">
        <v>44551</v>
      </c>
      <c r="C9465" s="1" t="n">
        <v>46011</v>
      </c>
      <c r="D9465" t="inlineStr">
        <is>
          <t>VÄSTRA GÖTALANDS LÄN</t>
        </is>
      </c>
      <c r="E9465" t="inlineStr">
        <is>
          <t>UDDEVALLA</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17542-2025</t>
        </is>
      </c>
      <c r="B9466" s="1" t="n">
        <v>45757.60574074074</v>
      </c>
      <c r="C9466" s="1" t="n">
        <v>46011</v>
      </c>
      <c r="D9466" t="inlineStr">
        <is>
          <t>VÄSTRA GÖTALANDS LÄN</t>
        </is>
      </c>
      <c r="E9466" t="inlineStr">
        <is>
          <t>VARA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45420-2021</t>
        </is>
      </c>
      <c r="B9467" s="1" t="n">
        <v>44440</v>
      </c>
      <c r="C9467" s="1" t="n">
        <v>46011</v>
      </c>
      <c r="D9467" t="inlineStr">
        <is>
          <t>VÄSTRA GÖTALANDS LÄN</t>
        </is>
      </c>
      <c r="E9467" t="inlineStr">
        <is>
          <t>BENGTSFORS</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46261-2021</t>
        </is>
      </c>
      <c r="B9468" s="1" t="n">
        <v>44442</v>
      </c>
      <c r="C9468" s="1" t="n">
        <v>46011</v>
      </c>
      <c r="D9468" t="inlineStr">
        <is>
          <t>VÄSTRA GÖTALANDS LÄN</t>
        </is>
      </c>
      <c r="E9468" t="inlineStr">
        <is>
          <t>TIDAHOLM</t>
        </is>
      </c>
      <c r="F9468" t="inlineStr">
        <is>
          <t>Sveaskog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69487-2021</t>
        </is>
      </c>
      <c r="B9469" s="1" t="n">
        <v>44531</v>
      </c>
      <c r="C9469" s="1" t="n">
        <v>46011</v>
      </c>
      <c r="D9469" t="inlineStr">
        <is>
          <t>VÄSTRA GÖTALANDS LÄN</t>
        </is>
      </c>
      <c r="E9469" t="inlineStr">
        <is>
          <t>ÅMÅL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56318-2025</t>
        </is>
      </c>
      <c r="B9470" s="1" t="n">
        <v>45974</v>
      </c>
      <c r="C9470" s="1" t="n">
        <v>46011</v>
      </c>
      <c r="D9470" t="inlineStr">
        <is>
          <t>VÄSTRA GÖTALANDS LÄN</t>
        </is>
      </c>
      <c r="E9470" t="inlineStr">
        <is>
          <t>STRÖMSTAD</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17319-2023</t>
        </is>
      </c>
      <c r="B9471" s="1" t="n">
        <v>45035</v>
      </c>
      <c r="C9471" s="1" t="n">
        <v>46011</v>
      </c>
      <c r="D9471" t="inlineStr">
        <is>
          <t>VÄSTRA GÖTALANDS LÄN</t>
        </is>
      </c>
      <c r="E9471" t="inlineStr">
        <is>
          <t>TRANEMO</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17327-2023</t>
        </is>
      </c>
      <c r="B9472" s="1" t="n">
        <v>45035.55740740741</v>
      </c>
      <c r="C9472" s="1" t="n">
        <v>46011</v>
      </c>
      <c r="D9472" t="inlineStr">
        <is>
          <t>VÄSTRA GÖTALANDS LÄN</t>
        </is>
      </c>
      <c r="E9472" t="inlineStr">
        <is>
          <t>TRANEMO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6137-2025</t>
        </is>
      </c>
      <c r="B9473" s="1" t="n">
        <v>45698.3783912037</v>
      </c>
      <c r="C9473" s="1" t="n">
        <v>46011</v>
      </c>
      <c r="D9473" t="inlineStr">
        <is>
          <t>VÄSTRA GÖTALANDS LÄN</t>
        </is>
      </c>
      <c r="E9473" t="inlineStr">
        <is>
          <t>SVENLJUNGA</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53474-2025</t>
        </is>
      </c>
      <c r="B9474" s="1" t="n">
        <v>45959</v>
      </c>
      <c r="C9474" s="1" t="n">
        <v>46011</v>
      </c>
      <c r="D9474" t="inlineStr">
        <is>
          <t>VÄSTRA GÖTALANDS LÄN</t>
        </is>
      </c>
      <c r="E9474" t="inlineStr">
        <is>
          <t>SKARA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53476-2025</t>
        </is>
      </c>
      <c r="B9475" s="1" t="n">
        <v>45959</v>
      </c>
      <c r="C9475" s="1" t="n">
        <v>46011</v>
      </c>
      <c r="D9475" t="inlineStr">
        <is>
          <t>VÄSTRA GÖTALANDS LÄN</t>
        </is>
      </c>
      <c r="E9475" t="inlineStr">
        <is>
          <t>SKARA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61431-2022</t>
        </is>
      </c>
      <c r="B9476" s="1" t="n">
        <v>44916.36677083333</v>
      </c>
      <c r="C9476" s="1" t="n">
        <v>46011</v>
      </c>
      <c r="D9476" t="inlineStr">
        <is>
          <t>VÄSTRA GÖTALANDS LÄN</t>
        </is>
      </c>
      <c r="E9476" t="inlineStr">
        <is>
          <t>FÄRGELANDA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24811-2023</t>
        </is>
      </c>
      <c r="B9477" s="1" t="n">
        <v>45084.85409722223</v>
      </c>
      <c r="C9477" s="1" t="n">
        <v>46011</v>
      </c>
      <c r="D9477" t="inlineStr">
        <is>
          <t>VÄSTRA GÖTALANDS LÄN</t>
        </is>
      </c>
      <c r="E9477" t="inlineStr">
        <is>
          <t>HERRLJUNGA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53033-2021</t>
        </is>
      </c>
      <c r="B9478" s="1" t="n">
        <v>44467.68811342592</v>
      </c>
      <c r="C9478" s="1" t="n">
        <v>46011</v>
      </c>
      <c r="D9478" t="inlineStr">
        <is>
          <t>VÄSTRA GÖTALANDS LÄN</t>
        </is>
      </c>
      <c r="E9478" t="inlineStr">
        <is>
          <t>TANUM</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24852-2023</t>
        </is>
      </c>
      <c r="B9479" s="1" t="n">
        <v>45085.35982638889</v>
      </c>
      <c r="C9479" s="1" t="n">
        <v>46011</v>
      </c>
      <c r="D9479" t="inlineStr">
        <is>
          <t>VÄSTRA GÖTALANDS LÄN</t>
        </is>
      </c>
      <c r="E9479" t="inlineStr">
        <is>
          <t>BORÅS</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52943-2025</t>
        </is>
      </c>
      <c r="B9480" s="1" t="n">
        <v>45957.64331018519</v>
      </c>
      <c r="C9480" s="1" t="n">
        <v>46011</v>
      </c>
      <c r="D9480" t="inlineStr">
        <is>
          <t>VÄSTRA GÖTALANDS LÄN</t>
        </is>
      </c>
      <c r="E9480" t="inlineStr">
        <is>
          <t>BOLLEBYGD</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36781-2024</t>
        </is>
      </c>
      <c r="B9481" s="1" t="n">
        <v>45538.42341435186</v>
      </c>
      <c r="C9481" s="1" t="n">
        <v>46011</v>
      </c>
      <c r="D9481" t="inlineStr">
        <is>
          <t>VÄSTRA GÖTALANDS LÄN</t>
        </is>
      </c>
      <c r="E9481" t="inlineStr">
        <is>
          <t>BORÅS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59335-2023</t>
        </is>
      </c>
      <c r="B9482" s="1" t="n">
        <v>45253.64171296296</v>
      </c>
      <c r="C9482" s="1" t="n">
        <v>46011</v>
      </c>
      <c r="D9482" t="inlineStr">
        <is>
          <t>VÄSTRA GÖTALANDS LÄN</t>
        </is>
      </c>
      <c r="E9482" t="inlineStr">
        <is>
          <t>VARA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73351-2021</t>
        </is>
      </c>
      <c r="B9483" s="1" t="n">
        <v>44551.39665509259</v>
      </c>
      <c r="C9483" s="1" t="n">
        <v>46011</v>
      </c>
      <c r="D9483" t="inlineStr">
        <is>
          <t>VÄSTRA GÖTALANDS LÄN</t>
        </is>
      </c>
      <c r="E9483" t="inlineStr">
        <is>
          <t>MELLERUD</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36833-2024</t>
        </is>
      </c>
      <c r="B9484" s="1" t="n">
        <v>45538.52077546297</v>
      </c>
      <c r="C9484" s="1" t="n">
        <v>46011</v>
      </c>
      <c r="D9484" t="inlineStr">
        <is>
          <t>VÄSTRA GÖTALANDS LÄN</t>
        </is>
      </c>
      <c r="E9484" t="inlineStr">
        <is>
          <t>ULRICEHAMN</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52640-2025</t>
        </is>
      </c>
      <c r="B9485" s="1" t="n">
        <v>45954.87305555555</v>
      </c>
      <c r="C9485" s="1" t="n">
        <v>46011</v>
      </c>
      <c r="D9485" t="inlineStr">
        <is>
          <t>VÄSTRA GÖTALANDS LÄN</t>
        </is>
      </c>
      <c r="E9485" t="inlineStr">
        <is>
          <t>LIDKÖPING</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50451-2024</t>
        </is>
      </c>
      <c r="B9486" s="1" t="n">
        <v>45601.44248842593</v>
      </c>
      <c r="C9486" s="1" t="n">
        <v>46011</v>
      </c>
      <c r="D9486" t="inlineStr">
        <is>
          <t>VÄSTRA GÖTALANDS LÄN</t>
        </is>
      </c>
      <c r="E9486" t="inlineStr">
        <is>
          <t>ALE</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50500-2024</t>
        </is>
      </c>
      <c r="B9487" s="1" t="n">
        <v>45601.52255787037</v>
      </c>
      <c r="C9487" s="1" t="n">
        <v>46011</v>
      </c>
      <c r="D9487" t="inlineStr">
        <is>
          <t>VÄSTRA GÖTALANDS LÄN</t>
        </is>
      </c>
      <c r="E9487" t="inlineStr">
        <is>
          <t>ULRICEHAMN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45480-2021</t>
        </is>
      </c>
      <c r="B9488" s="1" t="n">
        <v>44440</v>
      </c>
      <c r="C9488" s="1" t="n">
        <v>46011</v>
      </c>
      <c r="D9488" t="inlineStr">
        <is>
          <t>VÄSTRA GÖTALANDS LÄN</t>
        </is>
      </c>
      <c r="E9488" t="inlineStr">
        <is>
          <t>SVENLJUNGA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53439-2025</t>
        </is>
      </c>
      <c r="B9489" s="1" t="n">
        <v>45959</v>
      </c>
      <c r="C9489" s="1" t="n">
        <v>46011</v>
      </c>
      <c r="D9489" t="inlineStr">
        <is>
          <t>VÄSTRA GÖTALANDS LÄN</t>
        </is>
      </c>
      <c r="E9489" t="inlineStr">
        <is>
          <t>KARLSBORG</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53227-2021</t>
        </is>
      </c>
      <c r="B9490" s="1" t="n">
        <v>44468</v>
      </c>
      <c r="C9490" s="1" t="n">
        <v>46011</v>
      </c>
      <c r="D9490" t="inlineStr">
        <is>
          <t>VÄSTRA GÖTALANDS LÄN</t>
        </is>
      </c>
      <c r="E9490" t="inlineStr">
        <is>
          <t>TROLLHÄTTAN</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61130-2025</t>
        </is>
      </c>
      <c r="B9491" s="1" t="n">
        <v>46000.48894675926</v>
      </c>
      <c r="C9491" s="1" t="n">
        <v>46011</v>
      </c>
      <c r="D9491" t="inlineStr">
        <is>
          <t>VÄSTRA GÖTALANDS LÄN</t>
        </is>
      </c>
      <c r="E9491" t="inlineStr">
        <is>
          <t>SKÖVDE</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61134-2025</t>
        </is>
      </c>
      <c r="B9492" s="1" t="n">
        <v>46000.4978587963</v>
      </c>
      <c r="C9492" s="1" t="n">
        <v>46011</v>
      </c>
      <c r="D9492" t="inlineStr">
        <is>
          <t>VÄSTRA GÖTALANDS LÄN</t>
        </is>
      </c>
      <c r="E9492" t="inlineStr">
        <is>
          <t>ALINGSÅS</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7869-2025</t>
        </is>
      </c>
      <c r="B9493" s="1" t="n">
        <v>45706.69854166666</v>
      </c>
      <c r="C9493" s="1" t="n">
        <v>46011</v>
      </c>
      <c r="D9493" t="inlineStr">
        <is>
          <t>VÄSTRA GÖTALANDS LÄN</t>
        </is>
      </c>
      <c r="E9493" t="inlineStr">
        <is>
          <t>SKÖVDE</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10559-2025</t>
        </is>
      </c>
      <c r="B9494" s="1" t="n">
        <v>45721.52329861111</v>
      </c>
      <c r="C9494" s="1" t="n">
        <v>46011</v>
      </c>
      <c r="D9494" t="inlineStr">
        <is>
          <t>VÄSTRA GÖTALANDS LÄN</t>
        </is>
      </c>
      <c r="E9494" t="inlineStr">
        <is>
          <t>SKÖVDE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10655-2025</t>
        </is>
      </c>
      <c r="B9495" s="1" t="n">
        <v>45721.69958333333</v>
      </c>
      <c r="C9495" s="1" t="n">
        <v>46011</v>
      </c>
      <c r="D9495" t="inlineStr">
        <is>
          <t>VÄSTRA GÖTALANDS LÄN</t>
        </is>
      </c>
      <c r="E9495" t="inlineStr">
        <is>
          <t>VÅRGÅRDA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49680-2024</t>
        </is>
      </c>
      <c r="B9496" s="1" t="n">
        <v>45596.66880787037</v>
      </c>
      <c r="C9496" s="1" t="n">
        <v>46011</v>
      </c>
      <c r="D9496" t="inlineStr">
        <is>
          <t>VÄSTRA GÖTALANDS LÄN</t>
        </is>
      </c>
      <c r="E9496" t="inlineStr">
        <is>
          <t>ALE</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60853-2025</t>
        </is>
      </c>
      <c r="B9497" s="1" t="n">
        <v>45999.5106712963</v>
      </c>
      <c r="C9497" s="1" t="n">
        <v>46011</v>
      </c>
      <c r="D9497" t="inlineStr">
        <is>
          <t>VÄSTRA GÖTALANDS LÄN</t>
        </is>
      </c>
      <c r="E9497" t="inlineStr">
        <is>
          <t>BENGTSFORS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60855-2025</t>
        </is>
      </c>
      <c r="B9498" s="1" t="n">
        <v>45999.51137731481</v>
      </c>
      <c r="C9498" s="1" t="n">
        <v>46011</v>
      </c>
      <c r="D9498" t="inlineStr">
        <is>
          <t>VÄSTRA GÖTALANDS LÄN</t>
        </is>
      </c>
      <c r="E9498" t="inlineStr">
        <is>
          <t>BENGTSFORS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60877-2025</t>
        </is>
      </c>
      <c r="B9499" s="1" t="n">
        <v>45999.55611111111</v>
      </c>
      <c r="C9499" s="1" t="n">
        <v>46011</v>
      </c>
      <c r="D9499" t="inlineStr">
        <is>
          <t>VÄSTRA GÖTALANDS LÄN</t>
        </is>
      </c>
      <c r="E9499" t="inlineStr">
        <is>
          <t>KARLSBORG</t>
        </is>
      </c>
      <c r="F9499" t="inlineStr">
        <is>
          <t>Sveaskog</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52369-2025</t>
        </is>
      </c>
      <c r="B9500" s="1" t="n">
        <v>45953.87792824074</v>
      </c>
      <c r="C9500" s="1" t="n">
        <v>46011</v>
      </c>
      <c r="D9500" t="inlineStr">
        <is>
          <t>VÄSTRA GÖTALANDS LÄN</t>
        </is>
      </c>
      <c r="E9500" t="inlineStr">
        <is>
          <t>BORÅS</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37331-2024</t>
        </is>
      </c>
      <c r="B9501" s="1" t="n">
        <v>45540.51292824074</v>
      </c>
      <c r="C9501" s="1" t="n">
        <v>46011</v>
      </c>
      <c r="D9501" t="inlineStr">
        <is>
          <t>VÄSTRA GÖTALANDS LÄN</t>
        </is>
      </c>
      <c r="E9501" t="inlineStr">
        <is>
          <t>MUNKEDAL</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52888-2025</t>
        </is>
      </c>
      <c r="B9502" s="1" t="n">
        <v>45957.56943287037</v>
      </c>
      <c r="C9502" s="1" t="n">
        <v>46011</v>
      </c>
      <c r="D9502" t="inlineStr">
        <is>
          <t>VÄSTRA GÖTALANDS LÄN</t>
        </is>
      </c>
      <c r="E9502" t="inlineStr">
        <is>
          <t>SOTENÄS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61255-2025</t>
        </is>
      </c>
      <c r="B9503" s="1" t="n">
        <v>46000.66969907407</v>
      </c>
      <c r="C9503" s="1" t="n">
        <v>46011</v>
      </c>
      <c r="D9503" t="inlineStr">
        <is>
          <t>VÄSTRA GÖTALANDS LÄN</t>
        </is>
      </c>
      <c r="E9503" t="inlineStr">
        <is>
          <t>TANUM</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61268-2025</t>
        </is>
      </c>
      <c r="B9504" s="1" t="n">
        <v>46000.67976851852</v>
      </c>
      <c r="C9504" s="1" t="n">
        <v>46011</v>
      </c>
      <c r="D9504" t="inlineStr">
        <is>
          <t>VÄSTRA GÖTALANDS LÄN</t>
        </is>
      </c>
      <c r="E9504" t="inlineStr">
        <is>
          <t>MUNKEDAL</t>
        </is>
      </c>
      <c r="G9504" t="n">
        <v>17.5</v>
      </c>
      <c r="H9504" t="n">
        <v>0</v>
      </c>
      <c r="I9504" t="n">
        <v>0</v>
      </c>
      <c r="J9504" t="n">
        <v>0</v>
      </c>
      <c r="K9504" t="n">
        <v>0</v>
      </c>
      <c r="L9504" t="n">
        <v>0</v>
      </c>
      <c r="M9504" t="n">
        <v>0</v>
      </c>
      <c r="N9504" t="n">
        <v>0</v>
      </c>
      <c r="O9504" t="n">
        <v>0</v>
      </c>
      <c r="P9504" t="n">
        <v>0</v>
      </c>
      <c r="Q9504" t="n">
        <v>0</v>
      </c>
      <c r="R9504" s="2" t="inlineStr"/>
    </row>
    <row r="9505" ht="15" customHeight="1">
      <c r="A9505" t="inlineStr">
        <is>
          <t>A 21751-2023</t>
        </is>
      </c>
      <c r="B9505" s="1" t="n">
        <v>45063</v>
      </c>
      <c r="C9505" s="1" t="n">
        <v>46011</v>
      </c>
      <c r="D9505" t="inlineStr">
        <is>
          <t>VÄSTRA GÖTALANDS LÄN</t>
        </is>
      </c>
      <c r="E9505" t="inlineStr">
        <is>
          <t>TANUM</t>
        </is>
      </c>
      <c r="F9505" t="inlineStr">
        <is>
          <t>Kyrkan</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60751-2025</t>
        </is>
      </c>
      <c r="B9506" s="1" t="n">
        <v>45999.38141203704</v>
      </c>
      <c r="C9506" s="1" t="n">
        <v>46011</v>
      </c>
      <c r="D9506" t="inlineStr">
        <is>
          <t>VÄSTRA GÖTALANDS LÄN</t>
        </is>
      </c>
      <c r="E9506" t="inlineStr">
        <is>
          <t>BENGTSFORS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54293-2023</t>
        </is>
      </c>
      <c r="B9507" s="1" t="n">
        <v>45232.72627314815</v>
      </c>
      <c r="C9507" s="1" t="n">
        <v>46011</v>
      </c>
      <c r="D9507" t="inlineStr">
        <is>
          <t>VÄSTRA GÖTALANDS LÄN</t>
        </is>
      </c>
      <c r="E9507" t="inlineStr">
        <is>
          <t>VARA</t>
        </is>
      </c>
      <c r="G9507" t="n">
        <v>0</v>
      </c>
      <c r="H9507" t="n">
        <v>0</v>
      </c>
      <c r="I9507" t="n">
        <v>0</v>
      </c>
      <c r="J9507" t="n">
        <v>0</v>
      </c>
      <c r="K9507" t="n">
        <v>0</v>
      </c>
      <c r="L9507" t="n">
        <v>0</v>
      </c>
      <c r="M9507" t="n">
        <v>0</v>
      </c>
      <c r="N9507" t="n">
        <v>0</v>
      </c>
      <c r="O9507" t="n">
        <v>0</v>
      </c>
      <c r="P9507" t="n">
        <v>0</v>
      </c>
      <c r="Q9507" t="n">
        <v>0</v>
      </c>
      <c r="R9507" s="2" t="inlineStr"/>
    </row>
    <row r="9508" ht="15" customHeight="1">
      <c r="A9508" t="inlineStr">
        <is>
          <t>A 52914-2025</t>
        </is>
      </c>
      <c r="B9508" s="1" t="n">
        <v>45957.60668981481</v>
      </c>
      <c r="C9508" s="1" t="n">
        <v>46011</v>
      </c>
      <c r="D9508" t="inlineStr">
        <is>
          <t>VÄSTRA GÖTALANDS LÄN</t>
        </is>
      </c>
      <c r="E9508" t="inlineStr">
        <is>
          <t>HERRLJUNGA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53273-2025</t>
        </is>
      </c>
      <c r="B9509" s="1" t="n">
        <v>45958.71226851852</v>
      </c>
      <c r="C9509" s="1" t="n">
        <v>46011</v>
      </c>
      <c r="D9509" t="inlineStr">
        <is>
          <t>VÄSTRA GÖTALANDS LÄN</t>
        </is>
      </c>
      <c r="E9509" t="inlineStr">
        <is>
          <t>GÖTENE</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18589-2025</t>
        </is>
      </c>
      <c r="B9510" s="1" t="n">
        <v>45763.47604166667</v>
      </c>
      <c r="C9510" s="1" t="n">
        <v>46011</v>
      </c>
      <c r="D9510" t="inlineStr">
        <is>
          <t>VÄSTRA GÖTALANDS LÄN</t>
        </is>
      </c>
      <c r="E9510" t="inlineStr">
        <is>
          <t>MARK</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18593-2025</t>
        </is>
      </c>
      <c r="B9511" s="1" t="n">
        <v>45763.48221064815</v>
      </c>
      <c r="C9511" s="1" t="n">
        <v>46011</v>
      </c>
      <c r="D9511" t="inlineStr">
        <is>
          <t>VÄSTRA GÖTALANDS LÄN</t>
        </is>
      </c>
      <c r="E9511" t="inlineStr">
        <is>
          <t>MARK</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18597-2025</t>
        </is>
      </c>
      <c r="B9512" s="1" t="n">
        <v>45763.48828703703</v>
      </c>
      <c r="C9512" s="1" t="n">
        <v>46011</v>
      </c>
      <c r="D9512" t="inlineStr">
        <is>
          <t>VÄSTRA GÖTALANDS LÄN</t>
        </is>
      </c>
      <c r="E9512" t="inlineStr">
        <is>
          <t>TROLLHÄTTAN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18606-2025</t>
        </is>
      </c>
      <c r="B9513" s="1" t="n">
        <v>45763.49371527778</v>
      </c>
      <c r="C9513" s="1" t="n">
        <v>46011</v>
      </c>
      <c r="D9513" t="inlineStr">
        <is>
          <t>VÄSTRA GÖTALANDS LÄN</t>
        </is>
      </c>
      <c r="E9513" t="inlineStr">
        <is>
          <t>SKARA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18612-2025</t>
        </is>
      </c>
      <c r="B9514" s="1" t="n">
        <v>45763.4975</v>
      </c>
      <c r="C9514" s="1" t="n">
        <v>46011</v>
      </c>
      <c r="D9514" t="inlineStr">
        <is>
          <t>VÄSTRA GÖTALANDS LÄN</t>
        </is>
      </c>
      <c r="E9514" t="inlineStr">
        <is>
          <t>TROLLHÄTTAN</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18615-2025</t>
        </is>
      </c>
      <c r="B9515" s="1" t="n">
        <v>45763.50521990741</v>
      </c>
      <c r="C9515" s="1" t="n">
        <v>46011</v>
      </c>
      <c r="D9515" t="inlineStr">
        <is>
          <t>VÄSTRA GÖTALANDS LÄN</t>
        </is>
      </c>
      <c r="E9515" t="inlineStr">
        <is>
          <t>BOLLEBYGD</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57267-2022</t>
        </is>
      </c>
      <c r="B9516" s="1" t="n">
        <v>44895.90114583333</v>
      </c>
      <c r="C9516" s="1" t="n">
        <v>46011</v>
      </c>
      <c r="D9516" t="inlineStr">
        <is>
          <t>VÄSTRA GÖTALANDS LÄN</t>
        </is>
      </c>
      <c r="E9516" t="inlineStr">
        <is>
          <t>FÄRGELANDA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53274-2025</t>
        </is>
      </c>
      <c r="B9517" s="1" t="n">
        <v>45958.718125</v>
      </c>
      <c r="C9517" s="1" t="n">
        <v>46011</v>
      </c>
      <c r="D9517" t="inlineStr">
        <is>
          <t>VÄSTRA GÖTALANDS LÄN</t>
        </is>
      </c>
      <c r="E9517" t="inlineStr">
        <is>
          <t>LIDKÖPING</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40384-2021</t>
        </is>
      </c>
      <c r="B9518" s="1" t="n">
        <v>44419.62418981481</v>
      </c>
      <c r="C9518" s="1" t="n">
        <v>46011</v>
      </c>
      <c r="D9518" t="inlineStr">
        <is>
          <t>VÄSTRA GÖTALANDS LÄN</t>
        </is>
      </c>
      <c r="E9518" t="inlineStr">
        <is>
          <t>HERRLJUNGA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37441-2022</t>
        </is>
      </c>
      <c r="B9519" s="1" t="n">
        <v>44809.47324074074</v>
      </c>
      <c r="C9519" s="1" t="n">
        <v>46011</v>
      </c>
      <c r="D9519" t="inlineStr">
        <is>
          <t>VÄSTRA GÖTALANDS LÄN</t>
        </is>
      </c>
      <c r="E9519" t="inlineStr">
        <is>
          <t>LERUM</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22455-2023</t>
        </is>
      </c>
      <c r="B9520" s="1" t="n">
        <v>45070.91396990741</v>
      </c>
      <c r="C9520" s="1" t="n">
        <v>46011</v>
      </c>
      <c r="D9520" t="inlineStr">
        <is>
          <t>VÄSTRA GÖTALANDS LÄN</t>
        </is>
      </c>
      <c r="E9520" t="inlineStr">
        <is>
          <t>TIDAHOLM</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61073-2025</t>
        </is>
      </c>
      <c r="B9521" s="1" t="n">
        <v>46000.39114583333</v>
      </c>
      <c r="C9521" s="1" t="n">
        <v>46011</v>
      </c>
      <c r="D9521" t="inlineStr">
        <is>
          <t>VÄSTRA GÖTALANDS LÄN</t>
        </is>
      </c>
      <c r="E9521" t="inlineStr">
        <is>
          <t>MARIESTAD</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52965-2025</t>
        </is>
      </c>
      <c r="B9522" s="1" t="n">
        <v>45956</v>
      </c>
      <c r="C9522" s="1" t="n">
        <v>46011</v>
      </c>
      <c r="D9522" t="inlineStr">
        <is>
          <t>VÄSTRA GÖTALANDS LÄN</t>
        </is>
      </c>
      <c r="E9522" t="inlineStr">
        <is>
          <t>SOTENÄS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2545-2024</t>
        </is>
      </c>
      <c r="B9523" s="1" t="n">
        <v>45313.57215277778</v>
      </c>
      <c r="C9523" s="1" t="n">
        <v>46011</v>
      </c>
      <c r="D9523" t="inlineStr">
        <is>
          <t>VÄSTRA GÖTALANDS LÄN</t>
        </is>
      </c>
      <c r="E9523" t="inlineStr">
        <is>
          <t>MUNKEDAL</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17586-2025</t>
        </is>
      </c>
      <c r="B9524" s="1" t="n">
        <v>45757.67545138889</v>
      </c>
      <c r="C9524" s="1" t="n">
        <v>46011</v>
      </c>
      <c r="D9524" t="inlineStr">
        <is>
          <t>VÄSTRA GÖTALANDS LÄN</t>
        </is>
      </c>
      <c r="E9524" t="inlineStr">
        <is>
          <t>ULRICEHAMN</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17588-2025</t>
        </is>
      </c>
      <c r="B9525" s="1" t="n">
        <v>45757.67739583334</v>
      </c>
      <c r="C9525" s="1" t="n">
        <v>46011</v>
      </c>
      <c r="D9525" t="inlineStr">
        <is>
          <t>VÄSTRA GÖTALANDS LÄN</t>
        </is>
      </c>
      <c r="E9525" t="inlineStr">
        <is>
          <t>ULRICEHAMN</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1389-2023</t>
        </is>
      </c>
      <c r="B9526" s="1" t="n">
        <v>44930</v>
      </c>
      <c r="C9526" s="1" t="n">
        <v>46011</v>
      </c>
      <c r="D9526" t="inlineStr">
        <is>
          <t>VÄSTRA GÖTALANDS LÄN</t>
        </is>
      </c>
      <c r="E9526" t="inlineStr">
        <is>
          <t>SVENLJUNGA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53116-2025</t>
        </is>
      </c>
      <c r="B9527" s="1" t="n">
        <v>45958.44686342592</v>
      </c>
      <c r="C9527" s="1" t="n">
        <v>46011</v>
      </c>
      <c r="D9527" t="inlineStr">
        <is>
          <t>VÄSTRA GÖTALANDS LÄN</t>
        </is>
      </c>
      <c r="E9527" t="inlineStr">
        <is>
          <t>MARIESTAD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17611-2025</t>
        </is>
      </c>
      <c r="B9528" s="1" t="n">
        <v>45757.79642361111</v>
      </c>
      <c r="C9528" s="1" t="n">
        <v>46011</v>
      </c>
      <c r="D9528" t="inlineStr">
        <is>
          <t>VÄSTRA GÖTALANDS LÄN</t>
        </is>
      </c>
      <c r="E9528" t="inlineStr">
        <is>
          <t>TIBRO</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17616-2025</t>
        </is>
      </c>
      <c r="B9529" s="1" t="n">
        <v>45757.82684027778</v>
      </c>
      <c r="C9529" s="1" t="n">
        <v>46011</v>
      </c>
      <c r="D9529" t="inlineStr">
        <is>
          <t>VÄSTRA GÖTALANDS LÄN</t>
        </is>
      </c>
      <c r="E9529" t="inlineStr">
        <is>
          <t>HÄRRYDA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51916-2022</t>
        </is>
      </c>
      <c r="B9530" s="1" t="n">
        <v>44868</v>
      </c>
      <c r="C9530" s="1" t="n">
        <v>46011</v>
      </c>
      <c r="D9530" t="inlineStr">
        <is>
          <t>VÄSTRA GÖTALANDS LÄN</t>
        </is>
      </c>
      <c r="E9530" t="inlineStr">
        <is>
          <t>MELLERUD</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26311-2023</t>
        </is>
      </c>
      <c r="B9531" s="1" t="n">
        <v>45091.6591087963</v>
      </c>
      <c r="C9531" s="1" t="n">
        <v>46011</v>
      </c>
      <c r="D9531" t="inlineStr">
        <is>
          <t>VÄSTRA GÖTALANDS LÄN</t>
        </is>
      </c>
      <c r="E9531" t="inlineStr">
        <is>
          <t>SVENLJUNGA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26319-2023</t>
        </is>
      </c>
      <c r="B9532" s="1" t="n">
        <v>45091</v>
      </c>
      <c r="C9532" s="1" t="n">
        <v>46011</v>
      </c>
      <c r="D9532" t="inlineStr">
        <is>
          <t>VÄSTRA GÖTALANDS LÄN</t>
        </is>
      </c>
      <c r="E9532" t="inlineStr">
        <is>
          <t>FALKÖPING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31333-2024</t>
        </is>
      </c>
      <c r="B9533" s="1" t="n">
        <v>45504</v>
      </c>
      <c r="C9533" s="1" t="n">
        <v>46011</v>
      </c>
      <c r="D9533" t="inlineStr">
        <is>
          <t>VÄSTRA GÖTALANDS LÄN</t>
        </is>
      </c>
      <c r="E9533" t="inlineStr">
        <is>
          <t>ÅMÅL</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50294-2022</t>
        </is>
      </c>
      <c r="B9534" s="1" t="n">
        <v>44865.91162037037</v>
      </c>
      <c r="C9534" s="1" t="n">
        <v>46011</v>
      </c>
      <c r="D9534" t="inlineStr">
        <is>
          <t>VÄSTRA GÖTALANDS LÄN</t>
        </is>
      </c>
      <c r="E9534" t="inlineStr">
        <is>
          <t>TIDAHOLM</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53174-2025</t>
        </is>
      </c>
      <c r="B9535" s="1" t="n">
        <v>45958</v>
      </c>
      <c r="C9535" s="1" t="n">
        <v>46011</v>
      </c>
      <c r="D9535" t="inlineStr">
        <is>
          <t>VÄSTRA GÖTALANDS LÄN</t>
        </is>
      </c>
      <c r="E9535" t="inlineStr">
        <is>
          <t>MUNKEDAL</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29092-2021</t>
        </is>
      </c>
      <c r="B9536" s="1" t="n">
        <v>44358.56871527778</v>
      </c>
      <c r="C9536" s="1" t="n">
        <v>46011</v>
      </c>
      <c r="D9536" t="inlineStr">
        <is>
          <t>VÄSTRA GÖTALANDS LÄN</t>
        </is>
      </c>
      <c r="E9536" t="inlineStr">
        <is>
          <t>MARK</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15487-2023</t>
        </is>
      </c>
      <c r="B9537" s="1" t="n">
        <v>45020.4646412037</v>
      </c>
      <c r="C9537" s="1" t="n">
        <v>46011</v>
      </c>
      <c r="D9537" t="inlineStr">
        <is>
          <t>VÄSTRA GÖTALANDS LÄN</t>
        </is>
      </c>
      <c r="E9537" t="inlineStr">
        <is>
          <t>SVENLJUNGA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18937-2023</t>
        </is>
      </c>
      <c r="B9538" s="1" t="n">
        <v>45044.62524305555</v>
      </c>
      <c r="C9538" s="1" t="n">
        <v>46011</v>
      </c>
      <c r="D9538" t="inlineStr">
        <is>
          <t>VÄSTRA GÖTALANDS LÄN</t>
        </is>
      </c>
      <c r="E9538" t="inlineStr">
        <is>
          <t>BORÅS</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8620-2023</t>
        </is>
      </c>
      <c r="B9539" s="1" t="n">
        <v>44977.82046296296</v>
      </c>
      <c r="C9539" s="1" t="n">
        <v>46011</v>
      </c>
      <c r="D9539" t="inlineStr">
        <is>
          <t>VÄSTRA GÖTALANDS LÄN</t>
        </is>
      </c>
      <c r="E9539" t="inlineStr">
        <is>
          <t>ALINGSÅS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61168-2025</t>
        </is>
      </c>
      <c r="B9540" s="1" t="n">
        <v>46000.56900462963</v>
      </c>
      <c r="C9540" s="1" t="n">
        <v>46011</v>
      </c>
      <c r="D9540" t="inlineStr">
        <is>
          <t>VÄSTRA GÖTALANDS LÄN</t>
        </is>
      </c>
      <c r="E9540" t="inlineStr">
        <is>
          <t>BENGTSFORS</t>
        </is>
      </c>
      <c r="G9540" t="n">
        <v>18.8</v>
      </c>
      <c r="H9540" t="n">
        <v>0</v>
      </c>
      <c r="I9540" t="n">
        <v>0</v>
      </c>
      <c r="J9540" t="n">
        <v>0</v>
      </c>
      <c r="K9540" t="n">
        <v>0</v>
      </c>
      <c r="L9540" t="n">
        <v>0</v>
      </c>
      <c r="M9540" t="n">
        <v>0</v>
      </c>
      <c r="N9540" t="n">
        <v>0</v>
      </c>
      <c r="O9540" t="n">
        <v>0</v>
      </c>
      <c r="P9540" t="n">
        <v>0</v>
      </c>
      <c r="Q9540" t="n">
        <v>0</v>
      </c>
      <c r="R9540" s="2" t="inlineStr"/>
    </row>
    <row r="9541" ht="15" customHeight="1">
      <c r="A9541" t="inlineStr">
        <is>
          <t>A 66781-2021</t>
        </is>
      </c>
      <c r="B9541" s="1" t="n">
        <v>44522.32146990741</v>
      </c>
      <c r="C9541" s="1" t="n">
        <v>46011</v>
      </c>
      <c r="D9541" t="inlineStr">
        <is>
          <t>VÄSTRA GÖTALANDS LÄN</t>
        </is>
      </c>
      <c r="E9541" t="inlineStr">
        <is>
          <t>TRANEMO</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579-2024</t>
        </is>
      </c>
      <c r="B9542" s="1" t="n">
        <v>45299</v>
      </c>
      <c r="C9542" s="1" t="n">
        <v>46011</v>
      </c>
      <c r="D9542" t="inlineStr">
        <is>
          <t>VÄSTRA GÖTALANDS LÄN</t>
        </is>
      </c>
      <c r="E9542" t="inlineStr">
        <is>
          <t>VARA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25696-2023</t>
        </is>
      </c>
      <c r="B9543" s="1" t="n">
        <v>45089.96881944445</v>
      </c>
      <c r="C9543" s="1" t="n">
        <v>46011</v>
      </c>
      <c r="D9543" t="inlineStr">
        <is>
          <t>VÄSTRA GÖTALANDS LÄN</t>
        </is>
      </c>
      <c r="E9543" t="inlineStr">
        <is>
          <t>KARLSBORG</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61291-2025</t>
        </is>
      </c>
      <c r="B9544" s="1" t="n">
        <v>46000.74790509259</v>
      </c>
      <c r="C9544" s="1" t="n">
        <v>46011</v>
      </c>
      <c r="D9544" t="inlineStr">
        <is>
          <t>VÄSTRA GÖTALANDS LÄN</t>
        </is>
      </c>
      <c r="E9544" t="inlineStr">
        <is>
          <t>TRANEMO</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53167-2025</t>
        </is>
      </c>
      <c r="B9545" s="1" t="n">
        <v>45958.51035879629</v>
      </c>
      <c r="C9545" s="1" t="n">
        <v>46011</v>
      </c>
      <c r="D9545" t="inlineStr">
        <is>
          <t>VÄSTRA GÖTALANDS LÄN</t>
        </is>
      </c>
      <c r="E9545" t="inlineStr">
        <is>
          <t>FALKÖPING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53171-2025</t>
        </is>
      </c>
      <c r="B9546" s="1" t="n">
        <v>45958.51543981482</v>
      </c>
      <c r="C9546" s="1" t="n">
        <v>46011</v>
      </c>
      <c r="D9546" t="inlineStr">
        <is>
          <t>VÄSTRA GÖTALANDS LÄN</t>
        </is>
      </c>
      <c r="E9546" t="inlineStr">
        <is>
          <t>FALKÖPING</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1369-2025</t>
        </is>
      </c>
      <c r="B9547" s="1" t="n">
        <v>45667.6443287037</v>
      </c>
      <c r="C9547" s="1" t="n">
        <v>46011</v>
      </c>
      <c r="D9547" t="inlineStr">
        <is>
          <t>VÄSTRA GÖTALANDS LÄN</t>
        </is>
      </c>
      <c r="E9547" t="inlineStr">
        <is>
          <t>MELLERUD</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27251-2023</t>
        </is>
      </c>
      <c r="B9548" s="1" t="n">
        <v>45096</v>
      </c>
      <c r="C9548" s="1" t="n">
        <v>46011</v>
      </c>
      <c r="D9548" t="inlineStr">
        <is>
          <t>VÄSTRA GÖTALANDS LÄN</t>
        </is>
      </c>
      <c r="E9548" t="inlineStr">
        <is>
          <t>TÖREBODA</t>
        </is>
      </c>
      <c r="F9548" t="inlineStr">
        <is>
          <t>Övriga statliga verk och myndigheter</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52711-2025</t>
        </is>
      </c>
      <c r="B9549" s="1" t="n">
        <v>45957.30179398148</v>
      </c>
      <c r="C9549" s="1" t="n">
        <v>46011</v>
      </c>
      <c r="D9549" t="inlineStr">
        <is>
          <t>VÄSTRA GÖTALANDS LÄN</t>
        </is>
      </c>
      <c r="E9549" t="inlineStr">
        <is>
          <t>TRANEMO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52717-2025</t>
        </is>
      </c>
      <c r="B9550" s="1" t="n">
        <v>45957.3259375</v>
      </c>
      <c r="C9550" s="1" t="n">
        <v>46011</v>
      </c>
      <c r="D9550" t="inlineStr">
        <is>
          <t>VÄSTRA GÖTALANDS LÄN</t>
        </is>
      </c>
      <c r="E9550" t="inlineStr">
        <is>
          <t>SVENLJUNGA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52719-2025</t>
        </is>
      </c>
      <c r="B9551" s="1" t="n">
        <v>45957.3331712963</v>
      </c>
      <c r="C9551" s="1" t="n">
        <v>46011</v>
      </c>
      <c r="D9551" t="inlineStr">
        <is>
          <t>VÄSTRA GÖTALANDS LÄN</t>
        </is>
      </c>
      <c r="E9551" t="inlineStr">
        <is>
          <t>LIDKÖPING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34702-2022</t>
        </is>
      </c>
      <c r="B9552" s="1" t="n">
        <v>44795.55644675926</v>
      </c>
      <c r="C9552" s="1" t="n">
        <v>46011</v>
      </c>
      <c r="D9552" t="inlineStr">
        <is>
          <t>VÄSTRA GÖTALANDS LÄN</t>
        </is>
      </c>
      <c r="E9552" t="inlineStr">
        <is>
          <t>ESSUNGA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46944-2021</t>
        </is>
      </c>
      <c r="B9553" s="1" t="n">
        <v>44446.51780092593</v>
      </c>
      <c r="C9553" s="1" t="n">
        <v>46011</v>
      </c>
      <c r="D9553" t="inlineStr">
        <is>
          <t>VÄSTRA GÖTALANDS LÄN</t>
        </is>
      </c>
      <c r="E9553" t="inlineStr">
        <is>
          <t>VÅRGÅRDA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50034-2022</t>
        </is>
      </c>
      <c r="B9554" s="1" t="n">
        <v>44865.45782407407</v>
      </c>
      <c r="C9554" s="1" t="n">
        <v>46011</v>
      </c>
      <c r="D9554" t="inlineStr">
        <is>
          <t>VÄSTRA GÖTALANDS LÄN</t>
        </is>
      </c>
      <c r="E9554" t="inlineStr">
        <is>
          <t>STRÖMSTAD</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44269-2022</t>
        </is>
      </c>
      <c r="B9555" s="1" t="n">
        <v>44839.57752314815</v>
      </c>
      <c r="C9555" s="1" t="n">
        <v>46011</v>
      </c>
      <c r="D9555" t="inlineStr">
        <is>
          <t>VÄSTRA GÖTALANDS LÄN</t>
        </is>
      </c>
      <c r="E9555" t="inlineStr">
        <is>
          <t>UDDEVALLA</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31717-2023</t>
        </is>
      </c>
      <c r="B9556" s="1" t="n">
        <v>45117</v>
      </c>
      <c r="C9556" s="1" t="n">
        <v>46011</v>
      </c>
      <c r="D9556" t="inlineStr">
        <is>
          <t>VÄSTRA GÖTALANDS LÄN</t>
        </is>
      </c>
      <c r="E9556" t="inlineStr">
        <is>
          <t>BOLLEBYGD</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31719-2023</t>
        </is>
      </c>
      <c r="B9557" s="1" t="n">
        <v>45117.8900462963</v>
      </c>
      <c r="C9557" s="1" t="n">
        <v>46011</v>
      </c>
      <c r="D9557" t="inlineStr">
        <is>
          <t>VÄSTRA GÖTALANDS LÄN</t>
        </is>
      </c>
      <c r="E9557" t="inlineStr">
        <is>
          <t>BOLLEBYGD</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52831-2025</t>
        </is>
      </c>
      <c r="B9558" s="1" t="n">
        <v>45957.46996527778</v>
      </c>
      <c r="C9558" s="1" t="n">
        <v>46011</v>
      </c>
      <c r="D9558" t="inlineStr">
        <is>
          <t>VÄSTRA GÖTALANDS LÄN</t>
        </is>
      </c>
      <c r="E9558" t="inlineStr">
        <is>
          <t>HJO</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25769-2023</t>
        </is>
      </c>
      <c r="B9559" s="1" t="n">
        <v>45090.46358796296</v>
      </c>
      <c r="C9559" s="1" t="n">
        <v>46011</v>
      </c>
      <c r="D9559" t="inlineStr">
        <is>
          <t>VÄSTRA GÖTALANDS LÄN</t>
        </is>
      </c>
      <c r="E9559" t="inlineStr">
        <is>
          <t>ULRICEHAMN</t>
        </is>
      </c>
      <c r="G9559" t="n">
        <v>9</v>
      </c>
      <c r="H9559" t="n">
        <v>0</v>
      </c>
      <c r="I9559" t="n">
        <v>0</v>
      </c>
      <c r="J9559" t="n">
        <v>0</v>
      </c>
      <c r="K9559" t="n">
        <v>0</v>
      </c>
      <c r="L9559" t="n">
        <v>0</v>
      </c>
      <c r="M9559" t="n">
        <v>0</v>
      </c>
      <c r="N9559" t="n">
        <v>0</v>
      </c>
      <c r="O9559" t="n">
        <v>0</v>
      </c>
      <c r="P9559" t="n">
        <v>0</v>
      </c>
      <c r="Q9559" t="n">
        <v>0</v>
      </c>
      <c r="R9559" s="2" t="inlineStr"/>
    </row>
    <row r="9560" ht="15" customHeight="1">
      <c r="A9560" t="inlineStr">
        <is>
          <t>A 60973-2025</t>
        </is>
      </c>
      <c r="B9560" s="1" t="n">
        <v>45999.69430555555</v>
      </c>
      <c r="C9560" s="1" t="n">
        <v>46011</v>
      </c>
      <c r="D9560" t="inlineStr">
        <is>
          <t>VÄSTRA GÖTALANDS LÄN</t>
        </is>
      </c>
      <c r="E9560" t="inlineStr">
        <is>
          <t>VÅRGÅRDA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60974-2025</t>
        </is>
      </c>
      <c r="B9561" s="1" t="n">
        <v>45996</v>
      </c>
      <c r="C9561" s="1" t="n">
        <v>46011</v>
      </c>
      <c r="D9561" t="inlineStr">
        <is>
          <t>VÄSTRA GÖTALANDS LÄN</t>
        </is>
      </c>
      <c r="E9561" t="inlineStr">
        <is>
          <t>BENGTSFORS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60975-2025</t>
        </is>
      </c>
      <c r="B9562" s="1" t="n">
        <v>45999.69570601852</v>
      </c>
      <c r="C9562" s="1" t="n">
        <v>46011</v>
      </c>
      <c r="D9562" t="inlineStr">
        <is>
          <t>VÄSTRA GÖTALANDS LÄN</t>
        </is>
      </c>
      <c r="E9562" t="inlineStr">
        <is>
          <t>VÅRGÅRDA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60985-2025</t>
        </is>
      </c>
      <c r="B9563" s="1" t="n">
        <v>45999.70759259259</v>
      </c>
      <c r="C9563" s="1" t="n">
        <v>46011</v>
      </c>
      <c r="D9563" t="inlineStr">
        <is>
          <t>VÄSTRA GÖTALANDS LÄN</t>
        </is>
      </c>
      <c r="E9563" t="inlineStr">
        <is>
          <t>VÅRGÅRDA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54519-2022</t>
        </is>
      </c>
      <c r="B9564" s="1" t="n">
        <v>44882</v>
      </c>
      <c r="C9564" s="1" t="n">
        <v>46011</v>
      </c>
      <c r="D9564" t="inlineStr">
        <is>
          <t>VÄSTRA GÖTALANDS LÄN</t>
        </is>
      </c>
      <c r="E9564" t="inlineStr">
        <is>
          <t>ULRICEHAMN</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46140-2022</t>
        </is>
      </c>
      <c r="B9565" s="1" t="n">
        <v>44846</v>
      </c>
      <c r="C9565" s="1" t="n">
        <v>46011</v>
      </c>
      <c r="D9565" t="inlineStr">
        <is>
          <t>VÄSTRA GÖTALANDS LÄN</t>
        </is>
      </c>
      <c r="E9565" t="inlineStr">
        <is>
          <t>TANUM</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13441-2024</t>
        </is>
      </c>
      <c r="B9566" s="1" t="n">
        <v>45387</v>
      </c>
      <c r="C9566" s="1" t="n">
        <v>46011</v>
      </c>
      <c r="D9566" t="inlineStr">
        <is>
          <t>VÄSTRA GÖTALANDS LÄN</t>
        </is>
      </c>
      <c r="E9566" t="inlineStr">
        <is>
          <t>LIDKÖPING</t>
        </is>
      </c>
      <c r="F9566" t="inlineStr">
        <is>
          <t>Kyrkan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57961-2022</t>
        </is>
      </c>
      <c r="B9567" s="1" t="n">
        <v>44900</v>
      </c>
      <c r="C9567" s="1" t="n">
        <v>46011</v>
      </c>
      <c r="D9567" t="inlineStr">
        <is>
          <t>VÄSTRA GÖTALANDS LÄN</t>
        </is>
      </c>
      <c r="E9567" t="inlineStr">
        <is>
          <t>HERRLJUNGA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57962-2022</t>
        </is>
      </c>
      <c r="B9568" s="1" t="n">
        <v>44900.43293981482</v>
      </c>
      <c r="C9568" s="1" t="n">
        <v>46011</v>
      </c>
      <c r="D9568" t="inlineStr">
        <is>
          <t>VÄSTRA GÖTALANDS LÄN</t>
        </is>
      </c>
      <c r="E9568" t="inlineStr">
        <is>
          <t>TIDAHOLM</t>
        </is>
      </c>
      <c r="F9568" t="inlineStr">
        <is>
          <t>Sveaskog</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60744-2025</t>
        </is>
      </c>
      <c r="B9569" s="1" t="n">
        <v>45999.376875</v>
      </c>
      <c r="C9569" s="1" t="n">
        <v>46011</v>
      </c>
      <c r="D9569" t="inlineStr">
        <is>
          <t>VÄSTRA GÖTALANDS LÄN</t>
        </is>
      </c>
      <c r="E9569" t="inlineStr">
        <is>
          <t>BENGTSFORS</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60747-2025</t>
        </is>
      </c>
      <c r="B9570" s="1" t="n">
        <v>45999.38017361111</v>
      </c>
      <c r="C9570" s="1" t="n">
        <v>46011</v>
      </c>
      <c r="D9570" t="inlineStr">
        <is>
          <t>VÄSTRA GÖTALANDS LÄN</t>
        </is>
      </c>
      <c r="E9570" t="inlineStr">
        <is>
          <t>BENGTSFORS</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54377-2022</t>
        </is>
      </c>
      <c r="B9571" s="1" t="n">
        <v>44882</v>
      </c>
      <c r="C9571" s="1" t="n">
        <v>46011</v>
      </c>
      <c r="D9571" t="inlineStr">
        <is>
          <t>VÄSTRA GÖTALANDS LÄN</t>
        </is>
      </c>
      <c r="E9571" t="inlineStr">
        <is>
          <t>HERRLJUNGA</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46041-2021</t>
        </is>
      </c>
      <c r="B9572" s="1" t="n">
        <v>44441.93865740741</v>
      </c>
      <c r="C9572" s="1" t="n">
        <v>46011</v>
      </c>
      <c r="D9572" t="inlineStr">
        <is>
          <t>VÄSTRA GÖTALANDS LÄN</t>
        </is>
      </c>
      <c r="E9572" t="inlineStr">
        <is>
          <t>FÄRGELANDA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29719-2024</t>
        </is>
      </c>
      <c r="B9573" s="1" t="n">
        <v>45485.36423611111</v>
      </c>
      <c r="C9573" s="1" t="n">
        <v>46011</v>
      </c>
      <c r="D9573" t="inlineStr">
        <is>
          <t>VÄSTRA GÖTALANDS LÄN</t>
        </is>
      </c>
      <c r="E9573" t="inlineStr">
        <is>
          <t>FALKÖPING</t>
        </is>
      </c>
      <c r="F9573" t="inlineStr">
        <is>
          <t>Sveaskog</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25924-2024</t>
        </is>
      </c>
      <c r="B9574" s="1" t="n">
        <v>45467.61216435185</v>
      </c>
      <c r="C9574" s="1" t="n">
        <v>46011</v>
      </c>
      <c r="D9574" t="inlineStr">
        <is>
          <t>VÄSTRA GÖTALANDS LÄN</t>
        </is>
      </c>
      <c r="E9574" t="inlineStr">
        <is>
          <t>DALS-ED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60878-2025</t>
        </is>
      </c>
      <c r="B9575" s="1" t="n">
        <v>45999.55688657407</v>
      </c>
      <c r="C9575" s="1" t="n">
        <v>46011</v>
      </c>
      <c r="D9575" t="inlineStr">
        <is>
          <t>VÄSTRA GÖTALANDS LÄN</t>
        </is>
      </c>
      <c r="E9575" t="inlineStr">
        <is>
          <t>KARLSBORG</t>
        </is>
      </c>
      <c r="F9575" t="inlineStr">
        <is>
          <t>Sveaskog</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60946-2025</t>
        </is>
      </c>
      <c r="B9576" s="1" t="n">
        <v>45999.64741898148</v>
      </c>
      <c r="C9576" s="1" t="n">
        <v>46011</v>
      </c>
      <c r="D9576" t="inlineStr">
        <is>
          <t>VÄSTRA GÖTALANDS LÄN</t>
        </is>
      </c>
      <c r="E9576" t="inlineStr">
        <is>
          <t>BOLLEBYGD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52373-2025</t>
        </is>
      </c>
      <c r="B9577" s="1" t="n">
        <v>45953.93274305556</v>
      </c>
      <c r="C9577" s="1" t="n">
        <v>46011</v>
      </c>
      <c r="D9577" t="inlineStr">
        <is>
          <t>VÄSTRA GÖTALANDS LÄN</t>
        </is>
      </c>
      <c r="E9577" t="inlineStr">
        <is>
          <t>SVENLJUNGA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61247-2025</t>
        </is>
      </c>
      <c r="B9578" s="1" t="n">
        <v>46000.66350694445</v>
      </c>
      <c r="C9578" s="1" t="n">
        <v>46011</v>
      </c>
      <c r="D9578" t="inlineStr">
        <is>
          <t>VÄSTRA GÖTALANDS LÄN</t>
        </is>
      </c>
      <c r="E9578" t="inlineStr">
        <is>
          <t>MUNKEDAL</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30800-2023</t>
        </is>
      </c>
      <c r="B9579" s="1" t="n">
        <v>45112.77375</v>
      </c>
      <c r="C9579" s="1" t="n">
        <v>46011</v>
      </c>
      <c r="D9579" t="inlineStr">
        <is>
          <t>VÄSTRA GÖTALANDS LÄN</t>
        </is>
      </c>
      <c r="E9579" t="inlineStr">
        <is>
          <t>BOLLEBYGD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7730-2023</t>
        </is>
      </c>
      <c r="B9580" s="1" t="n">
        <v>44973.31143518518</v>
      </c>
      <c r="C9580" s="1" t="n">
        <v>46011</v>
      </c>
      <c r="D9580" t="inlineStr">
        <is>
          <t>VÄSTRA GÖTALANDS LÄN</t>
        </is>
      </c>
      <c r="E9580" t="inlineStr">
        <is>
          <t>TROLLHÄTTAN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61276-2025</t>
        </is>
      </c>
      <c r="B9581" s="1" t="n">
        <v>46000.68755787037</v>
      </c>
      <c r="C9581" s="1" t="n">
        <v>46011</v>
      </c>
      <c r="D9581" t="inlineStr">
        <is>
          <t>VÄSTRA GÖTALANDS LÄN</t>
        </is>
      </c>
      <c r="E9581" t="inlineStr">
        <is>
          <t>MUNKEDAL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27836-2023</t>
        </is>
      </c>
      <c r="B9582" s="1" t="n">
        <v>45098.5433912037</v>
      </c>
      <c r="C9582" s="1" t="n">
        <v>46011</v>
      </c>
      <c r="D9582" t="inlineStr">
        <is>
          <t>VÄSTRA GÖTALANDS LÄN</t>
        </is>
      </c>
      <c r="E9582" t="inlineStr">
        <is>
          <t>ÅMÅL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27845-2023</t>
        </is>
      </c>
      <c r="B9583" s="1" t="n">
        <v>45098.55438657408</v>
      </c>
      <c r="C9583" s="1" t="n">
        <v>46011</v>
      </c>
      <c r="D9583" t="inlineStr">
        <is>
          <t>VÄSTRA GÖTALANDS LÄN</t>
        </is>
      </c>
      <c r="E9583" t="inlineStr">
        <is>
          <t>VARA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52989-2025</t>
        </is>
      </c>
      <c r="B9584" s="1" t="n">
        <v>45957</v>
      </c>
      <c r="C9584" s="1" t="n">
        <v>46011</v>
      </c>
      <c r="D9584" t="inlineStr">
        <is>
          <t>VÄSTRA GÖTALANDS LÄN</t>
        </is>
      </c>
      <c r="E9584" t="inlineStr">
        <is>
          <t>HERRLJUNGA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42769-2024</t>
        </is>
      </c>
      <c r="B9585" s="1" t="n">
        <v>45566.51096064815</v>
      </c>
      <c r="C9585" s="1" t="n">
        <v>46011</v>
      </c>
      <c r="D9585" t="inlineStr">
        <is>
          <t>VÄSTRA GÖTALANDS LÄN</t>
        </is>
      </c>
      <c r="E9585" t="inlineStr">
        <is>
          <t>ULRICEHAMN</t>
        </is>
      </c>
      <c r="F9585" t="inlineStr">
        <is>
          <t>Sveaskog</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42778-2024</t>
        </is>
      </c>
      <c r="B9586" s="1" t="n">
        <v>45566.52706018519</v>
      </c>
      <c r="C9586" s="1" t="n">
        <v>46011</v>
      </c>
      <c r="D9586" t="inlineStr">
        <is>
          <t>VÄSTRA GÖTALANDS LÄN</t>
        </is>
      </c>
      <c r="E9586" t="inlineStr">
        <is>
          <t>KARLSBORG</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8884-2021</t>
        </is>
      </c>
      <c r="B9587" s="1" t="n">
        <v>44247</v>
      </c>
      <c r="C9587" s="1" t="n">
        <v>46011</v>
      </c>
      <c r="D9587" t="inlineStr">
        <is>
          <t>VÄSTRA GÖTALANDS LÄN</t>
        </is>
      </c>
      <c r="E9587" t="inlineStr">
        <is>
          <t>BENGTSFORS</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61162-2025</t>
        </is>
      </c>
      <c r="B9588" s="1" t="n">
        <v>46000.55739583333</v>
      </c>
      <c r="C9588" s="1" t="n">
        <v>46011</v>
      </c>
      <c r="D9588" t="inlineStr">
        <is>
          <t>VÄSTRA GÖTALANDS LÄN</t>
        </is>
      </c>
      <c r="E9588" t="inlineStr">
        <is>
          <t>TANUM</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19940-2025</t>
        </is>
      </c>
      <c r="B9589" s="1" t="n">
        <v>45771.6444212963</v>
      </c>
      <c r="C9589" s="1" t="n">
        <v>46011</v>
      </c>
      <c r="D9589" t="inlineStr">
        <is>
          <t>VÄSTRA GÖTALANDS LÄN</t>
        </is>
      </c>
      <c r="E9589" t="inlineStr">
        <is>
          <t>BENGTSFORS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19944-2025</t>
        </is>
      </c>
      <c r="B9590" s="1" t="n">
        <v>45771.65230324074</v>
      </c>
      <c r="C9590" s="1" t="n">
        <v>46011</v>
      </c>
      <c r="D9590" t="inlineStr">
        <is>
          <t>VÄSTRA GÖTALANDS LÄN</t>
        </is>
      </c>
      <c r="E9590" t="inlineStr">
        <is>
          <t>BENGTSFORS</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61773-2022</t>
        </is>
      </c>
      <c r="B9591" s="1" t="n">
        <v>44917.51491898148</v>
      </c>
      <c r="C9591" s="1" t="n">
        <v>46011</v>
      </c>
      <c r="D9591" t="inlineStr">
        <is>
          <t>VÄSTRA GÖTALANDS LÄN</t>
        </is>
      </c>
      <c r="E9591" t="inlineStr">
        <is>
          <t>ULRICEHAMN</t>
        </is>
      </c>
      <c r="F9591" t="inlineStr">
        <is>
          <t>Kommuner</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52939-2025</t>
        </is>
      </c>
      <c r="B9592" s="1" t="n">
        <v>45957.63912037037</v>
      </c>
      <c r="C9592" s="1" t="n">
        <v>46011</v>
      </c>
      <c r="D9592" t="inlineStr">
        <is>
          <t>VÄSTRA GÖTALANDS LÄN</t>
        </is>
      </c>
      <c r="E9592" t="inlineStr">
        <is>
          <t>BOLLEBYGD</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52952-2025</t>
        </is>
      </c>
      <c r="B9593" s="1" t="n">
        <v>45957.654375</v>
      </c>
      <c r="C9593" s="1" t="n">
        <v>46011</v>
      </c>
      <c r="D9593" t="inlineStr">
        <is>
          <t>VÄSTRA GÖTALANDS LÄN</t>
        </is>
      </c>
      <c r="E9593" t="inlineStr">
        <is>
          <t>BENGTSFORS</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52960-2025</t>
        </is>
      </c>
      <c r="B9594" s="1" t="n">
        <v>45956</v>
      </c>
      <c r="C9594" s="1" t="n">
        <v>46011</v>
      </c>
      <c r="D9594" t="inlineStr">
        <is>
          <t>VÄSTRA GÖTALANDS LÄN</t>
        </is>
      </c>
      <c r="E9594" t="inlineStr">
        <is>
          <t>SOTENÄS</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50428-2022</t>
        </is>
      </c>
      <c r="B9595" s="1" t="n">
        <v>44866</v>
      </c>
      <c r="C9595" s="1" t="n">
        <v>46011</v>
      </c>
      <c r="D9595" t="inlineStr">
        <is>
          <t>VÄSTRA GÖTALANDS LÄN</t>
        </is>
      </c>
      <c r="E9595" t="inlineStr">
        <is>
          <t>ÅMÅL</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36415-2023</t>
        </is>
      </c>
      <c r="B9596" s="1" t="n">
        <v>45152.57416666667</v>
      </c>
      <c r="C9596" s="1" t="n">
        <v>46011</v>
      </c>
      <c r="D9596" t="inlineStr">
        <is>
          <t>VÄSTRA GÖTALANDS LÄN</t>
        </is>
      </c>
      <c r="E9596" t="inlineStr">
        <is>
          <t>LERUM</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51416-2021</t>
        </is>
      </c>
      <c r="B9597" s="1" t="n">
        <v>44461.86927083333</v>
      </c>
      <c r="C9597" s="1" t="n">
        <v>46011</v>
      </c>
      <c r="D9597" t="inlineStr">
        <is>
          <t>VÄSTRA GÖTALANDS LÄN</t>
        </is>
      </c>
      <c r="E9597" t="inlineStr">
        <is>
          <t>FALKÖPING</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53232-2025</t>
        </is>
      </c>
      <c r="B9598" s="1" t="n">
        <v>45958.62399305555</v>
      </c>
      <c r="C9598" s="1" t="n">
        <v>46011</v>
      </c>
      <c r="D9598" t="inlineStr">
        <is>
          <t>VÄSTRA GÖTALANDS LÄN</t>
        </is>
      </c>
      <c r="E9598" t="inlineStr">
        <is>
          <t>MELLERUD</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53170-2025</t>
        </is>
      </c>
      <c r="B9599" s="1" t="n">
        <v>45958.51211805556</v>
      </c>
      <c r="C9599" s="1" t="n">
        <v>46011</v>
      </c>
      <c r="D9599" t="inlineStr">
        <is>
          <t>VÄSTRA GÖTALANDS LÄN</t>
        </is>
      </c>
      <c r="E9599" t="inlineStr">
        <is>
          <t>SKARA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62179-2022</t>
        </is>
      </c>
      <c r="B9600" s="1" t="n">
        <v>44922.53709490741</v>
      </c>
      <c r="C9600" s="1" t="n">
        <v>46011</v>
      </c>
      <c r="D9600" t="inlineStr">
        <is>
          <t>VÄSTRA GÖTALANDS LÄN</t>
        </is>
      </c>
      <c r="E9600" t="inlineStr">
        <is>
          <t>FALKÖPING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180-2025</t>
        </is>
      </c>
      <c r="B9601" s="1" t="n">
        <v>45659.6991087963</v>
      </c>
      <c r="C9601" s="1" t="n">
        <v>46011</v>
      </c>
      <c r="D9601" t="inlineStr">
        <is>
          <t>VÄSTRA GÖTALANDS LÄN</t>
        </is>
      </c>
      <c r="E9601" t="inlineStr">
        <is>
          <t>TANUM</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53241-2025</t>
        </is>
      </c>
      <c r="B9602" s="1" t="n">
        <v>45958.63921296296</v>
      </c>
      <c r="C9602" s="1" t="n">
        <v>46011</v>
      </c>
      <c r="D9602" t="inlineStr">
        <is>
          <t>VÄSTRA GÖTALANDS LÄN</t>
        </is>
      </c>
      <c r="E9602" t="inlineStr">
        <is>
          <t>TANUM</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55660-2021</t>
        </is>
      </c>
      <c r="B9603" s="1" t="n">
        <v>44476</v>
      </c>
      <c r="C9603" s="1" t="n">
        <v>46011</v>
      </c>
      <c r="D9603" t="inlineStr">
        <is>
          <t>VÄSTRA GÖTALANDS LÄN</t>
        </is>
      </c>
      <c r="E9603" t="inlineStr">
        <is>
          <t>ÅMÅL</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61152-2025</t>
        </is>
      </c>
      <c r="B9604" s="1" t="n">
        <v>46000.54090277778</v>
      </c>
      <c r="C9604" s="1" t="n">
        <v>46011</v>
      </c>
      <c r="D9604" t="inlineStr">
        <is>
          <t>VÄSTRA GÖTALANDS LÄN</t>
        </is>
      </c>
      <c r="E9604" t="inlineStr">
        <is>
          <t>TANUM</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16347-2023</t>
        </is>
      </c>
      <c r="B9605" s="1" t="n">
        <v>45028.67302083333</v>
      </c>
      <c r="C9605" s="1" t="n">
        <v>46011</v>
      </c>
      <c r="D9605" t="inlineStr">
        <is>
          <t>VÄSTRA GÖTALANDS LÄN</t>
        </is>
      </c>
      <c r="E9605" t="inlineStr">
        <is>
          <t>FALKÖPING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16352-2023</t>
        </is>
      </c>
      <c r="B9606" s="1" t="n">
        <v>45028.69456018518</v>
      </c>
      <c r="C9606" s="1" t="n">
        <v>46011</v>
      </c>
      <c r="D9606" t="inlineStr">
        <is>
          <t>VÄSTRA GÖTALANDS LÄN</t>
        </is>
      </c>
      <c r="E9606" t="inlineStr">
        <is>
          <t>HJO</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16382-2023</t>
        </is>
      </c>
      <c r="B9607" s="1" t="n">
        <v>45029</v>
      </c>
      <c r="C9607" s="1" t="n">
        <v>46011</v>
      </c>
      <c r="D9607" t="inlineStr">
        <is>
          <t>VÄSTRA GÖTALANDS LÄN</t>
        </is>
      </c>
      <c r="E9607" t="inlineStr">
        <is>
          <t>TIDAHOLM</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16383-2023</t>
        </is>
      </c>
      <c r="B9608" s="1" t="n">
        <v>45029.31045138889</v>
      </c>
      <c r="C9608" s="1" t="n">
        <v>46011</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39798-2024</t>
        </is>
      </c>
      <c r="B9609" s="1" t="n">
        <v>45553.33733796296</v>
      </c>
      <c r="C9609" s="1" t="n">
        <v>46011</v>
      </c>
      <c r="D9609" t="inlineStr">
        <is>
          <t>VÄSTRA GÖTALANDS LÄN</t>
        </is>
      </c>
      <c r="E9609" t="inlineStr">
        <is>
          <t>TÖREBODA</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32035-2024</t>
        </is>
      </c>
      <c r="B9610" s="1" t="n">
        <v>45510.67900462963</v>
      </c>
      <c r="C9610" s="1" t="n">
        <v>46011</v>
      </c>
      <c r="D9610" t="inlineStr">
        <is>
          <t>VÄSTRA GÖTALANDS LÄN</t>
        </is>
      </c>
      <c r="E9610" t="inlineStr">
        <is>
          <t>MARK</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52942-2025</t>
        </is>
      </c>
      <c r="B9611" s="1" t="n">
        <v>45957.64267361111</v>
      </c>
      <c r="C9611" s="1" t="n">
        <v>46011</v>
      </c>
      <c r="D9611" t="inlineStr">
        <is>
          <t>VÄSTRA GÖTALANDS LÄN</t>
        </is>
      </c>
      <c r="E9611" t="inlineStr">
        <is>
          <t>BOLLEBYGD</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52957-2025</t>
        </is>
      </c>
      <c r="B9612" s="1" t="n">
        <v>45957.65851851852</v>
      </c>
      <c r="C9612" s="1" t="n">
        <v>46011</v>
      </c>
      <c r="D9612" t="inlineStr">
        <is>
          <t>VÄSTRA GÖTALANDS LÄN</t>
        </is>
      </c>
      <c r="E9612" t="inlineStr">
        <is>
          <t>ULRICEHAMN</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47573-2024</t>
        </is>
      </c>
      <c r="B9613" s="1" t="n">
        <v>45587.71979166667</v>
      </c>
      <c r="C9613" s="1" t="n">
        <v>46011</v>
      </c>
      <c r="D9613" t="inlineStr">
        <is>
          <t>VÄSTRA GÖTALANDS LÄN</t>
        </is>
      </c>
      <c r="E9613" t="inlineStr">
        <is>
          <t>GRÄSTORP</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61122-2025</t>
        </is>
      </c>
      <c r="B9614" s="1" t="n">
        <v>46000.46776620371</v>
      </c>
      <c r="C9614" s="1" t="n">
        <v>46011</v>
      </c>
      <c r="D9614" t="inlineStr">
        <is>
          <t>VÄSTRA GÖTALANDS LÄN</t>
        </is>
      </c>
      <c r="E9614" t="inlineStr">
        <is>
          <t>ÅMÅL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61125-2025</t>
        </is>
      </c>
      <c r="B9615" s="1" t="n">
        <v>46000.48063657407</v>
      </c>
      <c r="C9615" s="1" t="n">
        <v>46011</v>
      </c>
      <c r="D9615" t="inlineStr">
        <is>
          <t>VÄSTRA GÖTALANDS LÄN</t>
        </is>
      </c>
      <c r="E9615" t="inlineStr">
        <is>
          <t>BENGTSFORS</t>
        </is>
      </c>
      <c r="G9615" t="n">
        <v>10.6</v>
      </c>
      <c r="H9615" t="n">
        <v>0</v>
      </c>
      <c r="I9615" t="n">
        <v>0</v>
      </c>
      <c r="J9615" t="n">
        <v>0</v>
      </c>
      <c r="K9615" t="n">
        <v>0</v>
      </c>
      <c r="L9615" t="n">
        <v>0</v>
      </c>
      <c r="M9615" t="n">
        <v>0</v>
      </c>
      <c r="N9615" t="n">
        <v>0</v>
      </c>
      <c r="O9615" t="n">
        <v>0</v>
      </c>
      <c r="P9615" t="n">
        <v>0</v>
      </c>
      <c r="Q9615" t="n">
        <v>0</v>
      </c>
      <c r="R9615" s="2" t="inlineStr"/>
    </row>
    <row r="9616" ht="15" customHeight="1">
      <c r="A9616" t="inlineStr">
        <is>
          <t>A 27976-2023</t>
        </is>
      </c>
      <c r="B9616" s="1" t="n">
        <v>45098.71601851852</v>
      </c>
      <c r="C9616" s="1" t="n">
        <v>46011</v>
      </c>
      <c r="D9616" t="inlineStr">
        <is>
          <t>VÄSTRA GÖTALANDS LÄN</t>
        </is>
      </c>
      <c r="E9616" t="inlineStr">
        <is>
          <t>HERRLJUNGA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22426-2022</t>
        </is>
      </c>
      <c r="B9617" s="1" t="n">
        <v>44713.47829861111</v>
      </c>
      <c r="C9617" s="1" t="n">
        <v>46011</v>
      </c>
      <c r="D9617" t="inlineStr">
        <is>
          <t>VÄSTRA GÖTALANDS LÄN</t>
        </is>
      </c>
      <c r="E9617" t="inlineStr">
        <is>
          <t>MARK</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54508-2022</t>
        </is>
      </c>
      <c r="B9618" s="1" t="n">
        <v>44882.691875</v>
      </c>
      <c r="C9618" s="1" t="n">
        <v>46011</v>
      </c>
      <c r="D9618" t="inlineStr">
        <is>
          <t>VÄSTRA GÖTALANDS LÄN</t>
        </is>
      </c>
      <c r="E9618" t="inlineStr">
        <is>
          <t>TRANEMO</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60932-2025</t>
        </is>
      </c>
      <c r="B9619" s="1" t="n">
        <v>45999.63842592593</v>
      </c>
      <c r="C9619" s="1" t="n">
        <v>46011</v>
      </c>
      <c r="D9619" t="inlineStr">
        <is>
          <t>VÄSTRA GÖTALANDS LÄN</t>
        </is>
      </c>
      <c r="E9619" t="inlineStr">
        <is>
          <t>ULRICEHAMN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53832-2021</t>
        </is>
      </c>
      <c r="B9620" s="1" t="n">
        <v>44469</v>
      </c>
      <c r="C9620" s="1" t="n">
        <v>46011</v>
      </c>
      <c r="D9620" t="inlineStr">
        <is>
          <t>VÄSTRA GÖTALANDS LÄN</t>
        </is>
      </c>
      <c r="E9620" t="inlineStr">
        <is>
          <t>MARK</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52833-2025</t>
        </is>
      </c>
      <c r="B9621" s="1" t="n">
        <v>45957.47081018519</v>
      </c>
      <c r="C9621" s="1" t="n">
        <v>46011</v>
      </c>
      <c r="D9621" t="inlineStr">
        <is>
          <t>VÄSTRA GÖTALANDS LÄN</t>
        </is>
      </c>
      <c r="E9621" t="inlineStr">
        <is>
          <t>STRÖMSTAD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60861-2025</t>
        </is>
      </c>
      <c r="B9622" s="1" t="n">
        <v>45999</v>
      </c>
      <c r="C9622" s="1" t="n">
        <v>46011</v>
      </c>
      <c r="D9622" t="inlineStr">
        <is>
          <t>VÄSTRA GÖTALANDS LÄN</t>
        </is>
      </c>
      <c r="E9622" t="inlineStr">
        <is>
          <t>GÖTENE</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53885-2022</t>
        </is>
      </c>
      <c r="B9623" s="1" t="n">
        <v>44876</v>
      </c>
      <c r="C9623" s="1" t="n">
        <v>46011</v>
      </c>
      <c r="D9623" t="inlineStr">
        <is>
          <t>VÄSTRA GÖTALANDS LÄN</t>
        </is>
      </c>
      <c r="E9623" t="inlineStr">
        <is>
          <t>ÅMÅL</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39537-2023</t>
        </is>
      </c>
      <c r="B9624" s="1" t="n">
        <v>45167</v>
      </c>
      <c r="C9624" s="1" t="n">
        <v>46011</v>
      </c>
      <c r="D9624" t="inlineStr">
        <is>
          <t>VÄSTRA GÖTALANDS LÄN</t>
        </is>
      </c>
      <c r="E9624" t="inlineStr">
        <is>
          <t>HJO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39540-2023</t>
        </is>
      </c>
      <c r="B9625" s="1" t="n">
        <v>45167</v>
      </c>
      <c r="C9625" s="1" t="n">
        <v>46011</v>
      </c>
      <c r="D9625" t="inlineStr">
        <is>
          <t>VÄSTRA GÖTALANDS LÄN</t>
        </is>
      </c>
      <c r="E9625" t="inlineStr">
        <is>
          <t>HJO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60989-2025</t>
        </is>
      </c>
      <c r="B9626" s="1" t="n">
        <v>45999.71597222222</v>
      </c>
      <c r="C9626" s="1" t="n">
        <v>46011</v>
      </c>
      <c r="D9626" t="inlineStr">
        <is>
          <t>VÄSTRA GÖTALANDS LÄN</t>
        </is>
      </c>
      <c r="E9626" t="inlineStr">
        <is>
          <t>UDDEVALLA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39570-2023</t>
        </is>
      </c>
      <c r="B9627" s="1" t="n">
        <v>45167.41329861111</v>
      </c>
      <c r="C9627" s="1" t="n">
        <v>46011</v>
      </c>
      <c r="D9627" t="inlineStr">
        <is>
          <t>VÄSTRA GÖTALANDS LÄN</t>
        </is>
      </c>
      <c r="E9627" t="inlineStr">
        <is>
          <t>TIDAHOLM</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24368-2022</t>
        </is>
      </c>
      <c r="B9628" s="1" t="n">
        <v>44726.43189814815</v>
      </c>
      <c r="C9628" s="1" t="n">
        <v>46011</v>
      </c>
      <c r="D9628" t="inlineStr">
        <is>
          <t>VÄSTRA GÖTALANDS LÄN</t>
        </is>
      </c>
      <c r="E9628" t="inlineStr">
        <is>
          <t>BOLLEBYGD</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60790-2025</t>
        </is>
      </c>
      <c r="B9629" s="1" t="n">
        <v>45999.41503472222</v>
      </c>
      <c r="C9629" s="1" t="n">
        <v>46011</v>
      </c>
      <c r="D9629" t="inlineStr">
        <is>
          <t>VÄSTRA GÖTALANDS LÄN</t>
        </is>
      </c>
      <c r="E9629" t="inlineStr">
        <is>
          <t>MARK</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16342-2025</t>
        </is>
      </c>
      <c r="B9630" s="1" t="n">
        <v>45751.37185185185</v>
      </c>
      <c r="C9630" s="1" t="n">
        <v>46011</v>
      </c>
      <c r="D9630" t="inlineStr">
        <is>
          <t>VÄSTRA GÖTALANDS LÄN</t>
        </is>
      </c>
      <c r="E9630" t="inlineStr">
        <is>
          <t>GULLSPÅNG</t>
        </is>
      </c>
      <c r="F9630" t="inlineStr">
        <is>
          <t>Kyrkan</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37521-2024</t>
        </is>
      </c>
      <c r="B9631" s="1" t="n">
        <v>45541.39284722223</v>
      </c>
      <c r="C9631" s="1" t="n">
        <v>46011</v>
      </c>
      <c r="D9631" t="inlineStr">
        <is>
          <t>VÄSTRA GÖTALANDS LÄN</t>
        </is>
      </c>
      <c r="E9631" t="inlineStr">
        <is>
          <t>KARLSBORG</t>
        </is>
      </c>
      <c r="F9631" t="inlineStr">
        <is>
          <t>Sveaskog</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16587-2025</t>
        </is>
      </c>
      <c r="B9632" s="1" t="n">
        <v>45752.87754629629</v>
      </c>
      <c r="C9632" s="1" t="n">
        <v>46011</v>
      </c>
      <c r="D9632" t="inlineStr">
        <is>
          <t>VÄSTRA GÖTALANDS LÄN</t>
        </is>
      </c>
      <c r="E9632" t="inlineStr">
        <is>
          <t>VÅRGÅRDA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60811-2025</t>
        </is>
      </c>
      <c r="B9633" s="1" t="n">
        <v>45999.4471875</v>
      </c>
      <c r="C9633" s="1" t="n">
        <v>46011</v>
      </c>
      <c r="D9633" t="inlineStr">
        <is>
          <t>VÄSTRA GÖTALANDS LÄN</t>
        </is>
      </c>
      <c r="E9633" t="inlineStr">
        <is>
          <t>ALINGSÅS</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16618-2025</t>
        </is>
      </c>
      <c r="B9634" s="1" t="n">
        <v>45754.31761574074</v>
      </c>
      <c r="C9634" s="1" t="n">
        <v>46011</v>
      </c>
      <c r="D9634" t="inlineStr">
        <is>
          <t>VÄSTRA GÖTALANDS LÄN</t>
        </is>
      </c>
      <c r="E9634" t="inlineStr">
        <is>
          <t>TIBRO</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16624-2025</t>
        </is>
      </c>
      <c r="B9635" s="1" t="n">
        <v>45754.34409722222</v>
      </c>
      <c r="C9635" s="1" t="n">
        <v>46011</v>
      </c>
      <c r="D9635" t="inlineStr">
        <is>
          <t>VÄSTRA GÖTALANDS LÄN</t>
        </is>
      </c>
      <c r="E9635" t="inlineStr">
        <is>
          <t>ULRICEHAMN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22625-2022</t>
        </is>
      </c>
      <c r="B9636" s="1" t="n">
        <v>44714.43248842593</v>
      </c>
      <c r="C9636" s="1" t="n">
        <v>46011</v>
      </c>
      <c r="D9636" t="inlineStr">
        <is>
          <t>VÄSTRA GÖTALANDS LÄN</t>
        </is>
      </c>
      <c r="E9636" t="inlineStr">
        <is>
          <t>MARK</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18224-2022</t>
        </is>
      </c>
      <c r="B9637" s="1" t="n">
        <v>44685</v>
      </c>
      <c r="C9637" s="1" t="n">
        <v>46011</v>
      </c>
      <c r="D9637" t="inlineStr">
        <is>
          <t>VÄSTRA GÖTALANDS LÄN</t>
        </is>
      </c>
      <c r="E9637" t="inlineStr">
        <is>
          <t>VARA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61177-2025</t>
        </is>
      </c>
      <c r="B9638" s="1" t="n">
        <v>46000.57814814815</v>
      </c>
      <c r="C9638" s="1" t="n">
        <v>46011</v>
      </c>
      <c r="D9638" t="inlineStr">
        <is>
          <t>VÄSTRA GÖTALANDS LÄN</t>
        </is>
      </c>
      <c r="E9638" t="inlineStr">
        <is>
          <t>MELLERUD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61180-2025</t>
        </is>
      </c>
      <c r="B9639" s="1" t="n">
        <v>46000.58282407407</v>
      </c>
      <c r="C9639" s="1" t="n">
        <v>46011</v>
      </c>
      <c r="D9639" t="inlineStr">
        <is>
          <t>VÄSTRA GÖTALANDS LÄN</t>
        </is>
      </c>
      <c r="E9639" t="inlineStr">
        <is>
          <t>MELLERUD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2583-2023</t>
        </is>
      </c>
      <c r="B9640" s="1" t="n">
        <v>44943</v>
      </c>
      <c r="C9640" s="1" t="n">
        <v>46011</v>
      </c>
      <c r="D9640" t="inlineStr">
        <is>
          <t>VÄSTRA GÖTALANDS LÄN</t>
        </is>
      </c>
      <c r="E9640" t="inlineStr">
        <is>
          <t>MARIESTAD</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18244-2022</t>
        </is>
      </c>
      <c r="B9641" s="1" t="n">
        <v>44685</v>
      </c>
      <c r="C9641" s="1" t="n">
        <v>46011</v>
      </c>
      <c r="D9641" t="inlineStr">
        <is>
          <t>VÄSTRA GÖTALANDS LÄN</t>
        </is>
      </c>
      <c r="E9641" t="inlineStr">
        <is>
          <t>VARA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52932-2025</t>
        </is>
      </c>
      <c r="B9642" s="1" t="n">
        <v>45957.62373842593</v>
      </c>
      <c r="C9642" s="1" t="n">
        <v>46011</v>
      </c>
      <c r="D9642" t="inlineStr">
        <is>
          <t>VÄSTRA GÖTALANDS LÄN</t>
        </is>
      </c>
      <c r="E9642" t="inlineStr">
        <is>
          <t>KUNGÄLV</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37039-2021</t>
        </is>
      </c>
      <c r="B9643" s="1" t="n">
        <v>44393</v>
      </c>
      <c r="C9643" s="1" t="n">
        <v>46011</v>
      </c>
      <c r="D9643" t="inlineStr">
        <is>
          <t>VÄSTRA GÖTALANDS LÄN</t>
        </is>
      </c>
      <c r="E9643" t="inlineStr">
        <is>
          <t>TRANEMO</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53839-2021</t>
        </is>
      </c>
      <c r="B9644" s="1" t="n">
        <v>44467</v>
      </c>
      <c r="C9644" s="1" t="n">
        <v>46011</v>
      </c>
      <c r="D9644" t="inlineStr">
        <is>
          <t>VÄSTRA GÖTALANDS LÄN</t>
        </is>
      </c>
      <c r="E9644" t="inlineStr">
        <is>
          <t>MUNKEDAL</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37152-2021</t>
        </is>
      </c>
      <c r="B9645" s="1" t="n">
        <v>44396</v>
      </c>
      <c r="C9645" s="1" t="n">
        <v>46011</v>
      </c>
      <c r="D9645" t="inlineStr">
        <is>
          <t>VÄSTRA GÖTALANDS LÄN</t>
        </is>
      </c>
      <c r="E9645" t="inlineStr">
        <is>
          <t>HERRLJUNGA</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24461-2023</t>
        </is>
      </c>
      <c r="B9646" s="1" t="n">
        <v>45082</v>
      </c>
      <c r="C9646" s="1" t="n">
        <v>46011</v>
      </c>
      <c r="D9646" t="inlineStr">
        <is>
          <t>VÄSTRA GÖTALANDS LÄN</t>
        </is>
      </c>
      <c r="E9646" t="inlineStr">
        <is>
          <t>KUNGÄLV</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12368-2022</t>
        </is>
      </c>
      <c r="B9647" s="1" t="n">
        <v>44637</v>
      </c>
      <c r="C9647" s="1" t="n">
        <v>46011</v>
      </c>
      <c r="D9647" t="inlineStr">
        <is>
          <t>VÄSTRA GÖTALANDS LÄN</t>
        </is>
      </c>
      <c r="E9647" t="inlineStr">
        <is>
          <t>MARK</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53118-2025</t>
        </is>
      </c>
      <c r="B9648" s="1" t="n">
        <v>45958.44865740741</v>
      </c>
      <c r="C9648" s="1" t="n">
        <v>46011</v>
      </c>
      <c r="D9648" t="inlineStr">
        <is>
          <t>VÄSTRA GÖTALANDS LÄN</t>
        </is>
      </c>
      <c r="E9648" t="inlineStr">
        <is>
          <t>MARIESTAD</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1498-2021</t>
        </is>
      </c>
      <c r="B9649" s="1" t="n">
        <v>44209</v>
      </c>
      <c r="C9649" s="1" t="n">
        <v>46011</v>
      </c>
      <c r="D9649" t="inlineStr">
        <is>
          <t>VÄSTRA GÖTALANDS LÄN</t>
        </is>
      </c>
      <c r="E9649" t="inlineStr">
        <is>
          <t>BENGTSFORS</t>
        </is>
      </c>
      <c r="G9649" t="n">
        <v>21.6</v>
      </c>
      <c r="H9649" t="n">
        <v>0</v>
      </c>
      <c r="I9649" t="n">
        <v>0</v>
      </c>
      <c r="J9649" t="n">
        <v>0</v>
      </c>
      <c r="K9649" t="n">
        <v>0</v>
      </c>
      <c r="L9649" t="n">
        <v>0</v>
      </c>
      <c r="M9649" t="n">
        <v>0</v>
      </c>
      <c r="N9649" t="n">
        <v>0</v>
      </c>
      <c r="O9649" t="n">
        <v>0</v>
      </c>
      <c r="P9649" t="n">
        <v>0</v>
      </c>
      <c r="Q9649" t="n">
        <v>0</v>
      </c>
      <c r="R9649" s="2" t="inlineStr"/>
    </row>
    <row r="9650" ht="15" customHeight="1">
      <c r="A9650" t="inlineStr">
        <is>
          <t>A 53491-2025</t>
        </is>
      </c>
      <c r="B9650" s="1" t="n">
        <v>45960.31606481481</v>
      </c>
      <c r="C9650" s="1" t="n">
        <v>46011</v>
      </c>
      <c r="D9650" t="inlineStr">
        <is>
          <t>VÄSTRA GÖTALANDS LÄN</t>
        </is>
      </c>
      <c r="E9650" t="inlineStr">
        <is>
          <t>BORÅS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39702-2023</t>
        </is>
      </c>
      <c r="B9651" s="1" t="n">
        <v>45167.60326388889</v>
      </c>
      <c r="C9651" s="1" t="n">
        <v>46011</v>
      </c>
      <c r="D9651" t="inlineStr">
        <is>
          <t>VÄSTRA GÖTALANDS LÄN</t>
        </is>
      </c>
      <c r="E9651" t="inlineStr">
        <is>
          <t>BENGTSFORS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47194-2021</t>
        </is>
      </c>
      <c r="B9652" s="1" t="n">
        <v>44447.32616898148</v>
      </c>
      <c r="C9652" s="1" t="n">
        <v>46011</v>
      </c>
      <c r="D9652" t="inlineStr">
        <is>
          <t>VÄSTRA GÖTALANDS LÄN</t>
        </is>
      </c>
      <c r="E9652" t="inlineStr">
        <is>
          <t>MARIESTAD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15335-2024</t>
        </is>
      </c>
      <c r="B9653" s="1" t="n">
        <v>45400.73189814815</v>
      </c>
      <c r="C9653" s="1" t="n">
        <v>46011</v>
      </c>
      <c r="D9653" t="inlineStr">
        <is>
          <t>VÄSTRA GÖTALANDS LÄN</t>
        </is>
      </c>
      <c r="E9653" t="inlineStr">
        <is>
          <t>SVENLJUNGA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15336-2024</t>
        </is>
      </c>
      <c r="B9654" s="1" t="n">
        <v>45400.73284722222</v>
      </c>
      <c r="C9654" s="1" t="n">
        <v>46011</v>
      </c>
      <c r="D9654" t="inlineStr">
        <is>
          <t>VÄSTRA GÖTALANDS LÄN</t>
        </is>
      </c>
      <c r="E9654" t="inlineStr">
        <is>
          <t>SVENLJUNGA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15337-2024</t>
        </is>
      </c>
      <c r="B9655" s="1" t="n">
        <v>45400.73368055555</v>
      </c>
      <c r="C9655" s="1" t="n">
        <v>46011</v>
      </c>
      <c r="D9655" t="inlineStr">
        <is>
          <t>VÄSTRA GÖTALANDS LÄN</t>
        </is>
      </c>
      <c r="E9655" t="inlineStr">
        <is>
          <t>SVENLJUNGA</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61059-2023</t>
        </is>
      </c>
      <c r="B9656" s="1" t="n">
        <v>45260</v>
      </c>
      <c r="C9656" s="1" t="n">
        <v>46011</v>
      </c>
      <c r="D9656" t="inlineStr">
        <is>
          <t>VÄSTRA GÖTALANDS LÄN</t>
        </is>
      </c>
      <c r="E9656" t="inlineStr">
        <is>
          <t>MARK</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59786-2022</t>
        </is>
      </c>
      <c r="B9657" s="1" t="n">
        <v>44900</v>
      </c>
      <c r="C9657" s="1" t="n">
        <v>46011</v>
      </c>
      <c r="D9657" t="inlineStr">
        <is>
          <t>VÄSTRA GÖTALANDS LÄN</t>
        </is>
      </c>
      <c r="E9657" t="inlineStr">
        <is>
          <t>VARA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59842-2022</t>
        </is>
      </c>
      <c r="B9658" s="1" t="n">
        <v>44908</v>
      </c>
      <c r="C9658" s="1" t="n">
        <v>46011</v>
      </c>
      <c r="D9658" t="inlineStr">
        <is>
          <t>VÄSTRA GÖTALANDS LÄN</t>
        </is>
      </c>
      <c r="E9658" t="inlineStr">
        <is>
          <t>SKARA</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53296-2025</t>
        </is>
      </c>
      <c r="B9659" s="1" t="n">
        <v>45958.89180555556</v>
      </c>
      <c r="C9659" s="1" t="n">
        <v>46011</v>
      </c>
      <c r="D9659" t="inlineStr">
        <is>
          <t>VÄSTRA GÖTALANDS LÄN</t>
        </is>
      </c>
      <c r="E9659" t="inlineStr">
        <is>
          <t>VÄNERSBORG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59036-2023</t>
        </is>
      </c>
      <c r="B9660" s="1" t="n">
        <v>45252</v>
      </c>
      <c r="C9660" s="1" t="n">
        <v>46011</v>
      </c>
      <c r="D9660" t="inlineStr">
        <is>
          <t>VÄSTRA GÖTALANDS LÄN</t>
        </is>
      </c>
      <c r="E9660" t="inlineStr">
        <is>
          <t>ULRICEHAMN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17908-2025</t>
        </is>
      </c>
      <c r="B9661" s="1" t="n">
        <v>45758.73297453704</v>
      </c>
      <c r="C9661" s="1" t="n">
        <v>46011</v>
      </c>
      <c r="D9661" t="inlineStr">
        <is>
          <t>VÄSTRA GÖTALANDS LÄN</t>
        </is>
      </c>
      <c r="E9661" t="inlineStr">
        <is>
          <t>KARLSBORG</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61372-2025</t>
        </is>
      </c>
      <c r="B9662" s="1" t="n">
        <v>46001.43695601852</v>
      </c>
      <c r="C9662" s="1" t="n">
        <v>46011</v>
      </c>
      <c r="D9662" t="inlineStr">
        <is>
          <t>VÄSTRA GÖTALANDS LÄN</t>
        </is>
      </c>
      <c r="E9662" t="inlineStr">
        <is>
          <t>MARK</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17911-2025</t>
        </is>
      </c>
      <c r="B9663" s="1" t="n">
        <v>45758.74115740741</v>
      </c>
      <c r="C9663" s="1" t="n">
        <v>46011</v>
      </c>
      <c r="D9663" t="inlineStr">
        <is>
          <t>VÄSTRA GÖTALANDS LÄN</t>
        </is>
      </c>
      <c r="E9663" t="inlineStr">
        <is>
          <t>VARA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62985-2023</t>
        </is>
      </c>
      <c r="B9664" s="1" t="n">
        <v>45272.60196759259</v>
      </c>
      <c r="C9664" s="1" t="n">
        <v>46011</v>
      </c>
      <c r="D9664" t="inlineStr">
        <is>
          <t>VÄSTRA GÖTALANDS LÄN</t>
        </is>
      </c>
      <c r="E9664" t="inlineStr">
        <is>
          <t>DALS-ED</t>
        </is>
      </c>
      <c r="G9664" t="n">
        <v>8.300000000000001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61413-2025</t>
        </is>
      </c>
      <c r="B9665" s="1" t="n">
        <v>46000</v>
      </c>
      <c r="C9665" s="1" t="n">
        <v>46011</v>
      </c>
      <c r="D9665" t="inlineStr">
        <is>
          <t>VÄSTRA GÖTALANDS LÄN</t>
        </is>
      </c>
      <c r="E9665" t="inlineStr">
        <is>
          <t>STRÖMSTAD</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10663-2025</t>
        </is>
      </c>
      <c r="B9666" s="1" t="n">
        <v>45721.73456018518</v>
      </c>
      <c r="C9666" s="1" t="n">
        <v>46011</v>
      </c>
      <c r="D9666" t="inlineStr">
        <is>
          <t>VÄSTRA GÖTALANDS LÄN</t>
        </is>
      </c>
      <c r="E9666" t="inlineStr">
        <is>
          <t>HERRLJUNGA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53741-2025</t>
        </is>
      </c>
      <c r="B9667" s="1" t="n">
        <v>45960.64665509259</v>
      </c>
      <c r="C9667" s="1" t="n">
        <v>46011</v>
      </c>
      <c r="D9667" t="inlineStr">
        <is>
          <t>VÄSTRA GÖTALANDS LÄN</t>
        </is>
      </c>
      <c r="E9667" t="inlineStr">
        <is>
          <t>MARIESTAD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53809-2025</t>
        </is>
      </c>
      <c r="B9668" s="1" t="n">
        <v>45960</v>
      </c>
      <c r="C9668" s="1" t="n">
        <v>46011</v>
      </c>
      <c r="D9668" t="inlineStr">
        <is>
          <t>VÄSTRA GÖTALANDS LÄN</t>
        </is>
      </c>
      <c r="E9668" t="inlineStr">
        <is>
          <t>FALKÖPING</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42486-2021</t>
        </is>
      </c>
      <c r="B9669" s="1" t="n">
        <v>44427</v>
      </c>
      <c r="C9669" s="1" t="n">
        <v>46011</v>
      </c>
      <c r="D9669" t="inlineStr">
        <is>
          <t>VÄSTRA GÖTALANDS LÄN</t>
        </is>
      </c>
      <c r="E9669" t="inlineStr">
        <is>
          <t>VARA</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60188-2025</t>
        </is>
      </c>
      <c r="B9670" s="1" t="n">
        <v>45994</v>
      </c>
      <c r="C9670" s="1" t="n">
        <v>46011</v>
      </c>
      <c r="D9670" t="inlineStr">
        <is>
          <t>VÄSTRA GÖTALANDS LÄN</t>
        </is>
      </c>
      <c r="E9670" t="inlineStr">
        <is>
          <t>DALS-ED</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61337-2025</t>
        </is>
      </c>
      <c r="B9671" s="1" t="n">
        <v>46001.34674768519</v>
      </c>
      <c r="C9671" s="1" t="n">
        <v>46011</v>
      </c>
      <c r="D9671" t="inlineStr">
        <is>
          <t>VÄSTRA GÖTALANDS LÄN</t>
        </is>
      </c>
      <c r="E9671" t="inlineStr">
        <is>
          <t>SVENLJUNGA</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57670-2022</t>
        </is>
      </c>
      <c r="B9672" s="1" t="n">
        <v>44897.45479166666</v>
      </c>
      <c r="C9672" s="1" t="n">
        <v>46011</v>
      </c>
      <c r="D9672" t="inlineStr">
        <is>
          <t>VÄSTRA GÖTALANDS LÄN</t>
        </is>
      </c>
      <c r="E9672" t="inlineStr">
        <is>
          <t>BORÅS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35603-2024</t>
        </is>
      </c>
      <c r="B9673" s="1" t="n">
        <v>45531.66983796296</v>
      </c>
      <c r="C9673" s="1" t="n">
        <v>46011</v>
      </c>
      <c r="D9673" t="inlineStr">
        <is>
          <t>VÄSTRA GÖTALANDS LÄN</t>
        </is>
      </c>
      <c r="E9673" t="inlineStr">
        <is>
          <t>MELLERUD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35605-2024</t>
        </is>
      </c>
      <c r="B9674" s="1" t="n">
        <v>45531.67395833333</v>
      </c>
      <c r="C9674" s="1" t="n">
        <v>46011</v>
      </c>
      <c r="D9674" t="inlineStr">
        <is>
          <t>VÄSTRA GÖTALANDS LÄN</t>
        </is>
      </c>
      <c r="E9674" t="inlineStr">
        <is>
          <t>MELLERUD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23559-2023</t>
        </is>
      </c>
      <c r="B9675" s="1" t="n">
        <v>45072</v>
      </c>
      <c r="C9675" s="1" t="n">
        <v>46011</v>
      </c>
      <c r="D9675" t="inlineStr">
        <is>
          <t>VÄSTRA GÖTALANDS LÄN</t>
        </is>
      </c>
      <c r="E9675" t="inlineStr">
        <is>
          <t>LILLA EDET</t>
        </is>
      </c>
      <c r="F9675" t="inlineStr">
        <is>
          <t>Kyrkan</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61811-2023</t>
        </is>
      </c>
      <c r="B9676" s="1" t="n">
        <v>45264</v>
      </c>
      <c r="C9676" s="1" t="n">
        <v>46011</v>
      </c>
      <c r="D9676" t="inlineStr">
        <is>
          <t>VÄSTRA GÖTALANDS LÄN</t>
        </is>
      </c>
      <c r="E9676" t="inlineStr">
        <is>
          <t>MELLERUD</t>
        </is>
      </c>
      <c r="F9676" t="inlineStr">
        <is>
          <t>Övriga Aktiebolag</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29034-2024</t>
        </is>
      </c>
      <c r="B9677" s="1" t="n">
        <v>45481.60545138889</v>
      </c>
      <c r="C9677" s="1" t="n">
        <v>46011</v>
      </c>
      <c r="D9677" t="inlineStr">
        <is>
          <t>VÄSTRA GÖTALANDS LÄN</t>
        </is>
      </c>
      <c r="E9677" t="inlineStr">
        <is>
          <t>ULRICEHAMN</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53475-2025</t>
        </is>
      </c>
      <c r="B9678" s="1" t="n">
        <v>45959.74376157407</v>
      </c>
      <c r="C9678" s="1" t="n">
        <v>46011</v>
      </c>
      <c r="D9678" t="inlineStr">
        <is>
          <t>VÄSTRA GÖTALANDS LÄN</t>
        </is>
      </c>
      <c r="E9678" t="inlineStr">
        <is>
          <t>BORÅS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53482-2025</t>
        </is>
      </c>
      <c r="B9679" s="1" t="n">
        <v>45959.79231481482</v>
      </c>
      <c r="C9679" s="1" t="n">
        <v>46011</v>
      </c>
      <c r="D9679" t="inlineStr">
        <is>
          <t>VÄSTRA GÖTALANDS LÄN</t>
        </is>
      </c>
      <c r="E9679" t="inlineStr">
        <is>
          <t>SVENLJUNGA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53489-2025</t>
        </is>
      </c>
      <c r="B9680" s="1" t="n">
        <v>45960.30618055556</v>
      </c>
      <c r="C9680" s="1" t="n">
        <v>46011</v>
      </c>
      <c r="D9680" t="inlineStr">
        <is>
          <t>VÄSTRA GÖTALANDS LÄN</t>
        </is>
      </c>
      <c r="E9680" t="inlineStr">
        <is>
          <t>ULRICEHAMN</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49300-2021</t>
        </is>
      </c>
      <c r="B9681" s="1" t="n">
        <v>44454</v>
      </c>
      <c r="C9681" s="1" t="n">
        <v>46011</v>
      </c>
      <c r="D9681" t="inlineStr">
        <is>
          <t>VÄSTRA GÖTALANDS LÄN</t>
        </is>
      </c>
      <c r="E9681" t="inlineStr">
        <is>
          <t>TIDAHOLM</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53757-2025</t>
        </is>
      </c>
      <c r="B9682" s="1" t="n">
        <v>45960.66594907407</v>
      </c>
      <c r="C9682" s="1" t="n">
        <v>46011</v>
      </c>
      <c r="D9682" t="inlineStr">
        <is>
          <t>VÄSTRA GÖTALANDS LÄN</t>
        </is>
      </c>
      <c r="E9682" t="inlineStr">
        <is>
          <t>BENGTSFORS</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53770-2025</t>
        </is>
      </c>
      <c r="B9683" s="1" t="n">
        <v>45960.68311342593</v>
      </c>
      <c r="C9683" s="1" t="n">
        <v>46011</v>
      </c>
      <c r="D9683" t="inlineStr">
        <is>
          <t>VÄSTRA GÖTALANDS LÄN</t>
        </is>
      </c>
      <c r="E9683" t="inlineStr">
        <is>
          <t>TRANEMO</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19863-2025</t>
        </is>
      </c>
      <c r="B9684" s="1" t="n">
        <v>45771.53564814815</v>
      </c>
      <c r="C9684" s="1" t="n">
        <v>46011</v>
      </c>
      <c r="D9684" t="inlineStr">
        <is>
          <t>VÄSTRA GÖTALANDS LÄN</t>
        </is>
      </c>
      <c r="E9684" t="inlineStr">
        <is>
          <t>HERRLJUNGA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19871-2025</t>
        </is>
      </c>
      <c r="B9685" s="1" t="n">
        <v>45771.54677083333</v>
      </c>
      <c r="C9685" s="1" t="n">
        <v>46011</v>
      </c>
      <c r="D9685" t="inlineStr">
        <is>
          <t>VÄSTRA GÖTALANDS LÄN</t>
        </is>
      </c>
      <c r="E9685" t="inlineStr">
        <is>
          <t>HERRLJUNGA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19914-2025</t>
        </is>
      </c>
      <c r="B9686" s="1" t="n">
        <v>45771.61266203703</v>
      </c>
      <c r="C9686" s="1" t="n">
        <v>46011</v>
      </c>
      <c r="D9686" t="inlineStr">
        <is>
          <t>VÄSTRA GÖTALANDS LÄN</t>
        </is>
      </c>
      <c r="E9686" t="inlineStr">
        <is>
          <t>ÅMÅL</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61762-2025</t>
        </is>
      </c>
      <c r="B9687" s="1" t="n">
        <v>46002.62560185185</v>
      </c>
      <c r="C9687" s="1" t="n">
        <v>46011</v>
      </c>
      <c r="D9687" t="inlineStr">
        <is>
          <t>VÄSTRA GÖTALANDS LÄN</t>
        </is>
      </c>
      <c r="E9687" t="inlineStr">
        <is>
          <t>LERUM</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56273-2022</t>
        </is>
      </c>
      <c r="B9688" s="1" t="n">
        <v>44890</v>
      </c>
      <c r="C9688" s="1" t="n">
        <v>46011</v>
      </c>
      <c r="D9688" t="inlineStr">
        <is>
          <t>VÄSTRA GÖTALANDS LÄN</t>
        </is>
      </c>
      <c r="E9688" t="inlineStr">
        <is>
          <t>TÖREBODA</t>
        </is>
      </c>
      <c r="F9688" t="inlineStr">
        <is>
          <t>Övriga statliga verk och myndigheter</t>
        </is>
      </c>
      <c r="G9688" t="n">
        <v>12.6</v>
      </c>
      <c r="H9688" t="n">
        <v>0</v>
      </c>
      <c r="I9688" t="n">
        <v>0</v>
      </c>
      <c r="J9688" t="n">
        <v>0</v>
      </c>
      <c r="K9688" t="n">
        <v>0</v>
      </c>
      <c r="L9688" t="n">
        <v>0</v>
      </c>
      <c r="M9688" t="n">
        <v>0</v>
      </c>
      <c r="N9688" t="n">
        <v>0</v>
      </c>
      <c r="O9688" t="n">
        <v>0</v>
      </c>
      <c r="P9688" t="n">
        <v>0</v>
      </c>
      <c r="Q9688" t="n">
        <v>0</v>
      </c>
      <c r="R9688" s="2" t="inlineStr"/>
    </row>
    <row r="9689" ht="15" customHeight="1">
      <c r="A9689" t="inlineStr">
        <is>
          <t>A 37726-2024</t>
        </is>
      </c>
      <c r="B9689" s="1" t="n">
        <v>45541.65391203704</v>
      </c>
      <c r="C9689" s="1" t="n">
        <v>46011</v>
      </c>
      <c r="D9689" t="inlineStr">
        <is>
          <t>VÄSTRA GÖTALANDS LÄN</t>
        </is>
      </c>
      <c r="E9689" t="inlineStr">
        <is>
          <t>VARA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61573-2025</t>
        </is>
      </c>
      <c r="B9690" s="1" t="n">
        <v>46002.3089699074</v>
      </c>
      <c r="C9690" s="1" t="n">
        <v>46011</v>
      </c>
      <c r="D9690" t="inlineStr">
        <is>
          <t>VÄSTRA GÖTALANDS LÄN</t>
        </is>
      </c>
      <c r="E9690" t="inlineStr">
        <is>
          <t>SVENLJUNGA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53392-2024</t>
        </is>
      </c>
      <c r="B9691" s="1" t="n">
        <v>45614.48221064815</v>
      </c>
      <c r="C9691" s="1" t="n">
        <v>46011</v>
      </c>
      <c r="D9691" t="inlineStr">
        <is>
          <t>VÄSTRA GÖTALANDS LÄN</t>
        </is>
      </c>
      <c r="E9691" t="inlineStr">
        <is>
          <t>TIDAHOLM</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64347-2023</t>
        </is>
      </c>
      <c r="B9692" s="1" t="n">
        <v>45280.46763888889</v>
      </c>
      <c r="C9692" s="1" t="n">
        <v>46011</v>
      </c>
      <c r="D9692" t="inlineStr">
        <is>
          <t>VÄSTRA GÖTALANDS LÄN</t>
        </is>
      </c>
      <c r="E9692" t="inlineStr">
        <is>
          <t>TANUM</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61699-2025</t>
        </is>
      </c>
      <c r="B9693" s="1" t="n">
        <v>46002.53145833333</v>
      </c>
      <c r="C9693" s="1" t="n">
        <v>46011</v>
      </c>
      <c r="D9693" t="inlineStr">
        <is>
          <t>VÄSTRA GÖTALANDS LÄN</t>
        </is>
      </c>
      <c r="E9693" t="inlineStr">
        <is>
          <t>SKÖVDE</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61737-2025</t>
        </is>
      </c>
      <c r="B9694" s="1" t="n">
        <v>46002.59627314815</v>
      </c>
      <c r="C9694" s="1" t="n">
        <v>46011</v>
      </c>
      <c r="D9694" t="inlineStr">
        <is>
          <t>VÄSTRA GÖTALANDS LÄN</t>
        </is>
      </c>
      <c r="E9694" t="inlineStr">
        <is>
          <t>HÄRRYDA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30650-2023</t>
        </is>
      </c>
      <c r="B9695" s="1" t="n">
        <v>45112.47785879629</v>
      </c>
      <c r="C9695" s="1" t="n">
        <v>46011</v>
      </c>
      <c r="D9695" t="inlineStr">
        <is>
          <t>VÄSTRA GÖTALANDS LÄN</t>
        </is>
      </c>
      <c r="E9695" t="inlineStr">
        <is>
          <t>BOLLEBYGD</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61713-2025</t>
        </is>
      </c>
      <c r="B9696" s="1" t="n">
        <v>46002.56458333333</v>
      </c>
      <c r="C9696" s="1" t="n">
        <v>46011</v>
      </c>
      <c r="D9696" t="inlineStr">
        <is>
          <t>VÄSTRA GÖTALANDS LÄN</t>
        </is>
      </c>
      <c r="E9696" t="inlineStr">
        <is>
          <t>MARK</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61771-2025</t>
        </is>
      </c>
      <c r="B9697" s="1" t="n">
        <v>46002.6478587963</v>
      </c>
      <c r="C9697" s="1" t="n">
        <v>46011</v>
      </c>
      <c r="D9697" t="inlineStr">
        <is>
          <t>VÄSTRA GÖTALANDS LÄN</t>
        </is>
      </c>
      <c r="E9697" t="inlineStr">
        <is>
          <t>ALE</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25070-2023</t>
        </is>
      </c>
      <c r="B9698" s="1" t="n">
        <v>45086</v>
      </c>
      <c r="C9698" s="1" t="n">
        <v>46011</v>
      </c>
      <c r="D9698" t="inlineStr">
        <is>
          <t>VÄSTRA GÖTALANDS LÄN</t>
        </is>
      </c>
      <c r="E9698" t="inlineStr">
        <is>
          <t>ULRICEHAMN</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25096-2023</t>
        </is>
      </c>
      <c r="B9699" s="1" t="n">
        <v>45086.36361111111</v>
      </c>
      <c r="C9699" s="1" t="n">
        <v>46011</v>
      </c>
      <c r="D9699" t="inlineStr">
        <is>
          <t>VÄSTRA GÖTALANDS LÄN</t>
        </is>
      </c>
      <c r="E9699" t="inlineStr">
        <is>
          <t>LIDKÖPING</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61577-2025</t>
        </is>
      </c>
      <c r="B9700" s="1" t="n">
        <v>46002.33260416667</v>
      </c>
      <c r="C9700" s="1" t="n">
        <v>46011</v>
      </c>
      <c r="D9700" t="inlineStr">
        <is>
          <t>VÄSTRA GÖTALANDS LÄN</t>
        </is>
      </c>
      <c r="E9700" t="inlineStr">
        <is>
          <t>SVENLJUNGA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47650-2023</t>
        </is>
      </c>
      <c r="B9701" s="1" t="n">
        <v>45203</v>
      </c>
      <c r="C9701" s="1" t="n">
        <v>46011</v>
      </c>
      <c r="D9701" t="inlineStr">
        <is>
          <t>VÄSTRA GÖTALANDS LÄN</t>
        </is>
      </c>
      <c r="E9701" t="inlineStr">
        <is>
          <t>TIBRO</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61421-2025</t>
        </is>
      </c>
      <c r="B9702" s="1" t="n">
        <v>46001.54255787037</v>
      </c>
      <c r="C9702" s="1" t="n">
        <v>46011</v>
      </c>
      <c r="D9702" t="inlineStr">
        <is>
          <t>VÄSTRA GÖTALANDS LÄN</t>
        </is>
      </c>
      <c r="E9702" t="inlineStr">
        <is>
          <t>SKÖVDE</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61422-2025</t>
        </is>
      </c>
      <c r="B9703" s="1" t="n">
        <v>46001.54291666667</v>
      </c>
      <c r="C9703" s="1" t="n">
        <v>46011</v>
      </c>
      <c r="D9703" t="inlineStr">
        <is>
          <t>VÄSTRA GÖTALANDS LÄN</t>
        </is>
      </c>
      <c r="E9703" t="inlineStr">
        <is>
          <t>SKÖVDE</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61453-2024</t>
        </is>
      </c>
      <c r="B9704" s="1" t="n">
        <v>45646.49038194444</v>
      </c>
      <c r="C9704" s="1" t="n">
        <v>46011</v>
      </c>
      <c r="D9704" t="inlineStr">
        <is>
          <t>VÄSTRA GÖTALANDS LÄN</t>
        </is>
      </c>
      <c r="E9704" t="inlineStr">
        <is>
          <t>BORÅS</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61475-2025</t>
        </is>
      </c>
      <c r="B9705" s="1" t="n">
        <v>46001.61959490741</v>
      </c>
      <c r="C9705" s="1" t="n">
        <v>46011</v>
      </c>
      <c r="D9705" t="inlineStr">
        <is>
          <t>VÄSTRA GÖTALANDS LÄN</t>
        </is>
      </c>
      <c r="E9705" t="inlineStr">
        <is>
          <t>LILLA EDET</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24212-2023</t>
        </is>
      </c>
      <c r="B9706" s="1" t="n">
        <v>45076</v>
      </c>
      <c r="C9706" s="1" t="n">
        <v>46011</v>
      </c>
      <c r="D9706" t="inlineStr">
        <is>
          <t>VÄSTRA GÖTALANDS LÄN</t>
        </is>
      </c>
      <c r="E9706" t="inlineStr">
        <is>
          <t>SOTENÄS</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31969-2023</t>
        </is>
      </c>
      <c r="B9707" s="1" t="n">
        <v>45119.41274305555</v>
      </c>
      <c r="C9707" s="1" t="n">
        <v>46011</v>
      </c>
      <c r="D9707" t="inlineStr">
        <is>
          <t>VÄSTRA GÖTALANDS LÄN</t>
        </is>
      </c>
      <c r="E9707" t="inlineStr">
        <is>
          <t>GÖTENE</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31978-2023</t>
        </is>
      </c>
      <c r="B9708" s="1" t="n">
        <v>45119.42896990741</v>
      </c>
      <c r="C9708" s="1" t="n">
        <v>46011</v>
      </c>
      <c r="D9708" t="inlineStr">
        <is>
          <t>VÄSTRA GÖTALANDS LÄN</t>
        </is>
      </c>
      <c r="E9708" t="inlineStr">
        <is>
          <t>GÖTENE</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60393-2025</t>
        </is>
      </c>
      <c r="B9709" s="1" t="n">
        <v>45995.39010416667</v>
      </c>
      <c r="C9709" s="1" t="n">
        <v>46011</v>
      </c>
      <c r="D9709" t="inlineStr">
        <is>
          <t>VÄSTRA GÖTALANDS LÄN</t>
        </is>
      </c>
      <c r="E9709" t="inlineStr">
        <is>
          <t>LERUM</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53666-2025</t>
        </is>
      </c>
      <c r="B9710" s="1" t="n">
        <v>45960.54706018518</v>
      </c>
      <c r="C9710" s="1" t="n">
        <v>46011</v>
      </c>
      <c r="D9710" t="inlineStr">
        <is>
          <t>VÄSTRA GÖTALANDS LÄN</t>
        </is>
      </c>
      <c r="E9710" t="inlineStr">
        <is>
          <t>ULRICEHAMN</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54039-2024</t>
        </is>
      </c>
      <c r="B9711" s="1" t="n">
        <v>45616.43416666667</v>
      </c>
      <c r="C9711" s="1" t="n">
        <v>46011</v>
      </c>
      <c r="D9711" t="inlineStr">
        <is>
          <t>VÄSTRA GÖTALANDS LÄN</t>
        </is>
      </c>
      <c r="E9711" t="inlineStr">
        <is>
          <t>MARK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53160-2023</t>
        </is>
      </c>
      <c r="B9712" s="1" t="n">
        <v>45229.37484953704</v>
      </c>
      <c r="C9712" s="1" t="n">
        <v>46011</v>
      </c>
      <c r="D9712" t="inlineStr">
        <is>
          <t>VÄSTRA GÖTALANDS LÄN</t>
        </is>
      </c>
      <c r="E9712" t="inlineStr">
        <is>
          <t>TIBRO</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61358-2025</t>
        </is>
      </c>
      <c r="B9713" s="1" t="n">
        <v>46000</v>
      </c>
      <c r="C9713" s="1" t="n">
        <v>46011</v>
      </c>
      <c r="D9713" t="inlineStr">
        <is>
          <t>VÄSTRA GÖTALANDS LÄN</t>
        </is>
      </c>
      <c r="E9713" t="inlineStr">
        <is>
          <t>GULLSPÅNG</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53604-2025</t>
        </is>
      </c>
      <c r="B9714" s="1" t="n">
        <v>45960.46254629629</v>
      </c>
      <c r="C9714" s="1" t="n">
        <v>46011</v>
      </c>
      <c r="D9714" t="inlineStr">
        <is>
          <t>VÄSTRA GÖTALANDS LÄN</t>
        </is>
      </c>
      <c r="E9714" t="inlineStr">
        <is>
          <t>VARA</t>
        </is>
      </c>
      <c r="G9714" t="n">
        <v>19.8</v>
      </c>
      <c r="H9714" t="n">
        <v>0</v>
      </c>
      <c r="I9714" t="n">
        <v>0</v>
      </c>
      <c r="J9714" t="n">
        <v>0</v>
      </c>
      <c r="K9714" t="n">
        <v>0</v>
      </c>
      <c r="L9714" t="n">
        <v>0</v>
      </c>
      <c r="M9714" t="n">
        <v>0</v>
      </c>
      <c r="N9714" t="n">
        <v>0</v>
      </c>
      <c r="O9714" t="n">
        <v>0</v>
      </c>
      <c r="P9714" t="n">
        <v>0</v>
      </c>
      <c r="Q9714" t="n">
        <v>0</v>
      </c>
      <c r="R9714" s="2" t="inlineStr"/>
    </row>
    <row r="9715" ht="15" customHeight="1">
      <c r="A9715" t="inlineStr">
        <is>
          <t>A 53597-2025</t>
        </is>
      </c>
      <c r="B9715" s="1" t="n">
        <v>45960.45333333333</v>
      </c>
      <c r="C9715" s="1" t="n">
        <v>46011</v>
      </c>
      <c r="D9715" t="inlineStr">
        <is>
          <t>VÄSTRA GÖTALANDS LÄN</t>
        </is>
      </c>
      <c r="E9715" t="inlineStr">
        <is>
          <t>BENGTSFORS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53606-2025</t>
        </is>
      </c>
      <c r="B9716" s="1" t="n">
        <v>45960.46693287037</v>
      </c>
      <c r="C9716" s="1" t="n">
        <v>46011</v>
      </c>
      <c r="D9716" t="inlineStr">
        <is>
          <t>VÄSTRA GÖTALANDS LÄN</t>
        </is>
      </c>
      <c r="E9716" t="inlineStr">
        <is>
          <t>VARA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49477-2023</t>
        </is>
      </c>
      <c r="B9717" s="1" t="n">
        <v>45211</v>
      </c>
      <c r="C9717" s="1" t="n">
        <v>46011</v>
      </c>
      <c r="D9717" t="inlineStr">
        <is>
          <t>VÄSTRA GÖTALANDS LÄN</t>
        </is>
      </c>
      <c r="E9717" t="inlineStr">
        <is>
          <t>BORÅS</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17567-2021</t>
        </is>
      </c>
      <c r="B9718" s="1" t="n">
        <v>44299.65976851852</v>
      </c>
      <c r="C9718" s="1" t="n">
        <v>46011</v>
      </c>
      <c r="D9718" t="inlineStr">
        <is>
          <t>VÄSTRA GÖTALANDS LÄN</t>
        </is>
      </c>
      <c r="E9718" t="inlineStr">
        <is>
          <t>TROLLHÄTTAN</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53651-2025</t>
        </is>
      </c>
      <c r="B9719" s="1" t="n">
        <v>45960.52734953703</v>
      </c>
      <c r="C9719" s="1" t="n">
        <v>46011</v>
      </c>
      <c r="D9719" t="inlineStr">
        <is>
          <t>VÄSTRA GÖTALANDS LÄN</t>
        </is>
      </c>
      <c r="E9719" t="inlineStr">
        <is>
          <t>TIBRO</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38383-2022</t>
        </is>
      </c>
      <c r="B9720" s="1" t="n">
        <v>44812</v>
      </c>
      <c r="C9720" s="1" t="n">
        <v>46011</v>
      </c>
      <c r="D9720" t="inlineStr">
        <is>
          <t>VÄSTRA GÖTALANDS LÄN</t>
        </is>
      </c>
      <c r="E9720" t="inlineStr">
        <is>
          <t>LILLA EDET</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60019-2025</t>
        </is>
      </c>
      <c r="B9721" s="1" t="n">
        <v>45993.60032407408</v>
      </c>
      <c r="C9721" s="1" t="n">
        <v>46011</v>
      </c>
      <c r="D9721" t="inlineStr">
        <is>
          <t>VÄSTRA GÖTALANDS LÄN</t>
        </is>
      </c>
      <c r="E9721" t="inlineStr">
        <is>
          <t>HERRLJUNGA</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60662-2025</t>
        </is>
      </c>
      <c r="B9722" s="1" t="n">
        <v>45996.50127314815</v>
      </c>
      <c r="C9722" s="1" t="n">
        <v>46011</v>
      </c>
      <c r="D9722" t="inlineStr">
        <is>
          <t>VÄSTRA GÖTALANDS LÄN</t>
        </is>
      </c>
      <c r="E9722" t="inlineStr">
        <is>
          <t>MARK</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61306-2025</t>
        </is>
      </c>
      <c r="B9723" s="1" t="n">
        <v>46000</v>
      </c>
      <c r="C9723" s="1" t="n">
        <v>46011</v>
      </c>
      <c r="D9723" t="inlineStr">
        <is>
          <t>VÄSTRA GÖTALANDS LÄN</t>
        </is>
      </c>
      <c r="E9723" t="inlineStr">
        <is>
          <t>DALS-ED</t>
        </is>
      </c>
      <c r="F9723" t="inlineStr">
        <is>
          <t>Bergvik skog väst AB</t>
        </is>
      </c>
      <c r="G9723" t="n">
        <v>14.5</v>
      </c>
      <c r="H9723" t="n">
        <v>0</v>
      </c>
      <c r="I9723" t="n">
        <v>0</v>
      </c>
      <c r="J9723" t="n">
        <v>0</v>
      </c>
      <c r="K9723" t="n">
        <v>0</v>
      </c>
      <c r="L9723" t="n">
        <v>0</v>
      </c>
      <c r="M9723" t="n">
        <v>0</v>
      </c>
      <c r="N9723" t="n">
        <v>0</v>
      </c>
      <c r="O9723" t="n">
        <v>0</v>
      </c>
      <c r="P9723" t="n">
        <v>0</v>
      </c>
      <c r="Q9723" t="n">
        <v>0</v>
      </c>
      <c r="R9723" s="2" t="inlineStr"/>
    </row>
    <row r="9724" ht="15" customHeight="1">
      <c r="A9724" t="inlineStr">
        <is>
          <t>A 61325-2025</t>
        </is>
      </c>
      <c r="B9724" s="1" t="n">
        <v>46001.29516203704</v>
      </c>
      <c r="C9724" s="1" t="n">
        <v>46011</v>
      </c>
      <c r="D9724" t="inlineStr">
        <is>
          <t>VÄSTRA GÖTALANDS LÄN</t>
        </is>
      </c>
      <c r="E9724" t="inlineStr">
        <is>
          <t>FALKÖPING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38579-2024</t>
        </is>
      </c>
      <c r="B9725" s="1" t="n">
        <v>45546.64791666667</v>
      </c>
      <c r="C9725" s="1" t="n">
        <v>46011</v>
      </c>
      <c r="D9725" t="inlineStr">
        <is>
          <t>VÄSTRA GÖTALANDS LÄN</t>
        </is>
      </c>
      <c r="E9725" t="inlineStr">
        <is>
          <t>DALS-ED</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12512-2025</t>
        </is>
      </c>
      <c r="B9726" s="1" t="n">
        <v>45730.64863425926</v>
      </c>
      <c r="C9726" s="1" t="n">
        <v>46011</v>
      </c>
      <c r="D9726" t="inlineStr">
        <is>
          <t>VÄSTRA GÖTALANDS LÄN</t>
        </is>
      </c>
      <c r="E9726" t="inlineStr">
        <is>
          <t>BORÅS</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53421-2025</t>
        </is>
      </c>
      <c r="B9727" s="1" t="n">
        <v>45959.59699074074</v>
      </c>
      <c r="C9727" s="1" t="n">
        <v>46011</v>
      </c>
      <c r="D9727" t="inlineStr">
        <is>
          <t>VÄSTRA GÖTALANDS LÄN</t>
        </is>
      </c>
      <c r="E9727" t="inlineStr">
        <is>
          <t>BENGTSFORS</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53504-2025</t>
        </is>
      </c>
      <c r="B9728" s="1" t="n">
        <v>45960.34425925926</v>
      </c>
      <c r="C9728" s="1" t="n">
        <v>46011</v>
      </c>
      <c r="D9728" t="inlineStr">
        <is>
          <t>VÄSTRA GÖTALANDS LÄN</t>
        </is>
      </c>
      <c r="E9728" t="inlineStr">
        <is>
          <t>ULRICEHAMN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54582-2023</t>
        </is>
      </c>
      <c r="B9729" s="1" t="n">
        <v>45233</v>
      </c>
      <c r="C9729" s="1" t="n">
        <v>46011</v>
      </c>
      <c r="D9729" t="inlineStr">
        <is>
          <t>VÄSTRA GÖTALANDS LÄN</t>
        </is>
      </c>
      <c r="E9729" t="inlineStr">
        <is>
          <t>LIDKÖPING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27146-2023</t>
        </is>
      </c>
      <c r="B9730" s="1" t="n">
        <v>45096</v>
      </c>
      <c r="C9730" s="1" t="n">
        <v>46011</v>
      </c>
      <c r="D9730" t="inlineStr">
        <is>
          <t>VÄSTRA GÖTALANDS LÄN</t>
        </is>
      </c>
      <c r="E9730" t="inlineStr">
        <is>
          <t>BORÅS</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20703-2023</t>
        </is>
      </c>
      <c r="B9731" s="1" t="n">
        <v>45058</v>
      </c>
      <c r="C9731" s="1" t="n">
        <v>46011</v>
      </c>
      <c r="D9731" t="inlineStr">
        <is>
          <t>VÄSTRA GÖTALANDS LÄN</t>
        </is>
      </c>
      <c r="E9731" t="inlineStr">
        <is>
          <t>UDDEVALLA</t>
        </is>
      </c>
      <c r="G9731" t="n">
        <v>10.7</v>
      </c>
      <c r="H9731" t="n">
        <v>0</v>
      </c>
      <c r="I9731" t="n">
        <v>0</v>
      </c>
      <c r="J9731" t="n">
        <v>0</v>
      </c>
      <c r="K9731" t="n">
        <v>0</v>
      </c>
      <c r="L9731" t="n">
        <v>0</v>
      </c>
      <c r="M9731" t="n">
        <v>0</v>
      </c>
      <c r="N9731" t="n">
        <v>0</v>
      </c>
      <c r="O9731" t="n">
        <v>0</v>
      </c>
      <c r="P9731" t="n">
        <v>0</v>
      </c>
      <c r="Q9731" t="n">
        <v>0</v>
      </c>
      <c r="R9731" s="2" t="inlineStr"/>
    </row>
    <row r="9732" ht="15" customHeight="1">
      <c r="A9732" t="inlineStr">
        <is>
          <t>A 50478-2025</t>
        </is>
      </c>
      <c r="B9732" s="1" t="n">
        <v>45945</v>
      </c>
      <c r="C9732" s="1" t="n">
        <v>46011</v>
      </c>
      <c r="D9732" t="inlineStr">
        <is>
          <t>VÄSTRA GÖTALANDS LÄN</t>
        </is>
      </c>
      <c r="E9732" t="inlineStr">
        <is>
          <t>MELLERUD</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50482-2025</t>
        </is>
      </c>
      <c r="B9733" s="1" t="n">
        <v>45945</v>
      </c>
      <c r="C9733" s="1" t="n">
        <v>46011</v>
      </c>
      <c r="D9733" t="inlineStr">
        <is>
          <t>VÄSTRA GÖTALANDS LÄN</t>
        </is>
      </c>
      <c r="E9733" t="inlineStr">
        <is>
          <t>MELLERUD</t>
        </is>
      </c>
      <c r="G9733" t="n">
        <v>8.800000000000001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53689-2025</t>
        </is>
      </c>
      <c r="B9734" s="1" t="n">
        <v>45960.58104166666</v>
      </c>
      <c r="C9734" s="1" t="n">
        <v>46011</v>
      </c>
      <c r="D9734" t="inlineStr">
        <is>
          <t>VÄSTRA GÖTALANDS LÄN</t>
        </is>
      </c>
      <c r="E9734" t="inlineStr">
        <is>
          <t>HJO</t>
        </is>
      </c>
      <c r="G9734" t="n">
        <v>10.9</v>
      </c>
      <c r="H9734" t="n">
        <v>0</v>
      </c>
      <c r="I9734" t="n">
        <v>0</v>
      </c>
      <c r="J9734" t="n">
        <v>0</v>
      </c>
      <c r="K9734" t="n">
        <v>0</v>
      </c>
      <c r="L9734" t="n">
        <v>0</v>
      </c>
      <c r="M9734" t="n">
        <v>0</v>
      </c>
      <c r="N9734" t="n">
        <v>0</v>
      </c>
      <c r="O9734" t="n">
        <v>0</v>
      </c>
      <c r="P9734" t="n">
        <v>0</v>
      </c>
      <c r="Q9734" t="n">
        <v>0</v>
      </c>
      <c r="R9734" s="2" t="inlineStr"/>
    </row>
    <row r="9735" ht="15" customHeight="1">
      <c r="A9735" t="inlineStr">
        <is>
          <t>A 61740-2025</t>
        </is>
      </c>
      <c r="B9735" s="1" t="n">
        <v>46002.59903935185</v>
      </c>
      <c r="C9735" s="1" t="n">
        <v>46011</v>
      </c>
      <c r="D9735" t="inlineStr">
        <is>
          <t>VÄSTRA GÖTALANDS LÄN</t>
        </is>
      </c>
      <c r="E9735" t="inlineStr">
        <is>
          <t>BENGTSFORS</t>
        </is>
      </c>
      <c r="G9735" t="n">
        <v>0</v>
      </c>
      <c r="H9735" t="n">
        <v>0</v>
      </c>
      <c r="I9735" t="n">
        <v>0</v>
      </c>
      <c r="J9735" t="n">
        <v>0</v>
      </c>
      <c r="K9735" t="n">
        <v>0</v>
      </c>
      <c r="L9735" t="n">
        <v>0</v>
      </c>
      <c r="M9735" t="n">
        <v>0</v>
      </c>
      <c r="N9735" t="n">
        <v>0</v>
      </c>
      <c r="O9735" t="n">
        <v>0</v>
      </c>
      <c r="P9735" t="n">
        <v>0</v>
      </c>
      <c r="Q9735" t="n">
        <v>0</v>
      </c>
      <c r="R9735" s="2" t="inlineStr"/>
    </row>
    <row r="9736" ht="15" customHeight="1">
      <c r="A9736" t="inlineStr">
        <is>
          <t>A 20793-2023</t>
        </is>
      </c>
      <c r="B9736" s="1" t="n">
        <v>45058.60979166667</v>
      </c>
      <c r="C9736" s="1" t="n">
        <v>46011</v>
      </c>
      <c r="D9736" t="inlineStr">
        <is>
          <t>VÄSTRA GÖTALANDS LÄN</t>
        </is>
      </c>
      <c r="E9736" t="inlineStr">
        <is>
          <t>VÄNERSBORG</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61802-2025</t>
        </is>
      </c>
      <c r="B9737" s="1" t="n">
        <v>46002</v>
      </c>
      <c r="C9737" s="1" t="n">
        <v>46011</v>
      </c>
      <c r="D9737" t="inlineStr">
        <is>
          <t>VÄSTRA GÖTALANDS LÄN</t>
        </is>
      </c>
      <c r="E9737" t="inlineStr">
        <is>
          <t>GULLSPÅNG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7086-2022</t>
        </is>
      </c>
      <c r="B9738" s="1" t="n">
        <v>44603</v>
      </c>
      <c r="C9738" s="1" t="n">
        <v>46011</v>
      </c>
      <c r="D9738" t="inlineStr">
        <is>
          <t>VÄSTRA GÖTALANDS LÄN</t>
        </is>
      </c>
      <c r="E9738" t="inlineStr">
        <is>
          <t>ÅMÅL</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9720-2024</t>
        </is>
      </c>
      <c r="B9739" s="1" t="n">
        <v>45362</v>
      </c>
      <c r="C9739" s="1" t="n">
        <v>46011</v>
      </c>
      <c r="D9739" t="inlineStr">
        <is>
          <t>VÄSTRA GÖTALANDS LÄN</t>
        </is>
      </c>
      <c r="E9739" t="inlineStr">
        <is>
          <t>MUNKEDAL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17522-2025</t>
        </is>
      </c>
      <c r="B9740" s="1" t="n">
        <v>45757.57973379629</v>
      </c>
      <c r="C9740" s="1" t="n">
        <v>46011</v>
      </c>
      <c r="D9740" t="inlineStr">
        <is>
          <t>VÄSTRA GÖTALANDS LÄN</t>
        </is>
      </c>
      <c r="E9740" t="inlineStr">
        <is>
          <t>TANUM</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4362-2022</t>
        </is>
      </c>
      <c r="B9741" s="1" t="n">
        <v>44589</v>
      </c>
      <c r="C9741" s="1" t="n">
        <v>46011</v>
      </c>
      <c r="D9741" t="inlineStr">
        <is>
          <t>VÄSTRA GÖTALANDS LÄN</t>
        </is>
      </c>
      <c r="E9741" t="inlineStr">
        <is>
          <t>BORÅS</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26467-2021</t>
        </is>
      </c>
      <c r="B9742" s="1" t="n">
        <v>44348.39732638889</v>
      </c>
      <c r="C9742" s="1" t="n">
        <v>46011</v>
      </c>
      <c r="D9742" t="inlineStr">
        <is>
          <t>VÄSTRA GÖTALANDS LÄN</t>
        </is>
      </c>
      <c r="E9742" t="inlineStr">
        <is>
          <t>KARLSBORG</t>
        </is>
      </c>
      <c r="F9742" t="inlineStr">
        <is>
          <t>Kommuner</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61727-2025</t>
        </is>
      </c>
      <c r="B9743" s="1" t="n">
        <v>46002.58857638889</v>
      </c>
      <c r="C9743" s="1" t="n">
        <v>46011</v>
      </c>
      <c r="D9743" t="inlineStr">
        <is>
          <t>VÄSTRA GÖTALANDS LÄN</t>
        </is>
      </c>
      <c r="E9743" t="inlineStr">
        <is>
          <t>BENGTSFORS</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61766-2025</t>
        </is>
      </c>
      <c r="B9744" s="1" t="n">
        <v>46002.63146990741</v>
      </c>
      <c r="C9744" s="1" t="n">
        <v>46011</v>
      </c>
      <c r="D9744" t="inlineStr">
        <is>
          <t>VÄSTRA GÖTALANDS LÄN</t>
        </is>
      </c>
      <c r="E9744" t="inlineStr">
        <is>
          <t>LERUM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23665-2021</t>
        </is>
      </c>
      <c r="B9745" s="1" t="n">
        <v>44334</v>
      </c>
      <c r="C9745" s="1" t="n">
        <v>46011</v>
      </c>
      <c r="D9745" t="inlineStr">
        <is>
          <t>VÄSTRA GÖTALANDS LÄN</t>
        </is>
      </c>
      <c r="E9745" t="inlineStr">
        <is>
          <t>GULLSPÅNG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5228-2024</t>
        </is>
      </c>
      <c r="B9746" s="1" t="n">
        <v>45330.7070949074</v>
      </c>
      <c r="C9746" s="1" t="n">
        <v>46011</v>
      </c>
      <c r="D9746" t="inlineStr">
        <is>
          <t>VÄSTRA GÖTALANDS LÄN</t>
        </is>
      </c>
      <c r="E9746" t="inlineStr">
        <is>
          <t>FALKÖPING</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53346-2025</t>
        </is>
      </c>
      <c r="B9747" s="1" t="n">
        <v>45959.42767361111</v>
      </c>
      <c r="C9747" s="1" t="n">
        <v>46011</v>
      </c>
      <c r="D9747" t="inlineStr">
        <is>
          <t>VÄSTRA GÖTALANDS LÄN</t>
        </is>
      </c>
      <c r="E9747" t="inlineStr">
        <is>
          <t>TIDAHOLM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59311-2024</t>
        </is>
      </c>
      <c r="B9748" s="1" t="n">
        <v>45637.6818287037</v>
      </c>
      <c r="C9748" s="1" t="n">
        <v>46011</v>
      </c>
      <c r="D9748" t="inlineStr">
        <is>
          <t>VÄSTRA GÖTALANDS LÄN</t>
        </is>
      </c>
      <c r="E9748" t="inlineStr">
        <is>
          <t>GRÄSTORP</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6092-2024</t>
        </is>
      </c>
      <c r="B9749" s="1" t="n">
        <v>45337</v>
      </c>
      <c r="C9749" s="1" t="n">
        <v>46011</v>
      </c>
      <c r="D9749" t="inlineStr">
        <is>
          <t>VÄSTRA GÖTALANDS LÄN</t>
        </is>
      </c>
      <c r="E9749" t="inlineStr">
        <is>
          <t>GÖTENE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61307-2025</t>
        </is>
      </c>
      <c r="B9750" s="1" t="n">
        <v>46000</v>
      </c>
      <c r="C9750" s="1" t="n">
        <v>46011</v>
      </c>
      <c r="D9750" t="inlineStr">
        <is>
          <t>VÄSTRA GÖTALANDS LÄN</t>
        </is>
      </c>
      <c r="E9750" t="inlineStr">
        <is>
          <t>DALS-ED</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61324-2025</t>
        </is>
      </c>
      <c r="B9751" s="1" t="n">
        <v>46001.27658564815</v>
      </c>
      <c r="C9751" s="1" t="n">
        <v>46011</v>
      </c>
      <c r="D9751" t="inlineStr">
        <is>
          <t>VÄSTRA GÖTALANDS LÄN</t>
        </is>
      </c>
      <c r="E9751" t="inlineStr">
        <is>
          <t>SKARA</t>
        </is>
      </c>
      <c r="F9751" t="inlineStr">
        <is>
          <t>Sveaskog</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59512-2024</t>
        </is>
      </c>
      <c r="B9752" s="1" t="n">
        <v>45638.55909722222</v>
      </c>
      <c r="C9752" s="1" t="n">
        <v>46011</v>
      </c>
      <c r="D9752" t="inlineStr">
        <is>
          <t>VÄSTRA GÖTALANDS LÄN</t>
        </is>
      </c>
      <c r="E9752" t="inlineStr">
        <is>
          <t>BORÅS</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61356-2025</t>
        </is>
      </c>
      <c r="B9753" s="1" t="n">
        <v>46000</v>
      </c>
      <c r="C9753" s="1" t="n">
        <v>46011</v>
      </c>
      <c r="D9753" t="inlineStr">
        <is>
          <t>VÄSTRA GÖTALANDS LÄN</t>
        </is>
      </c>
      <c r="E9753" t="inlineStr">
        <is>
          <t>GULLSPÅNG</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57252-2023</t>
        </is>
      </c>
      <c r="B9754" s="1" t="n">
        <v>45245.56895833334</v>
      </c>
      <c r="C9754" s="1" t="n">
        <v>46011</v>
      </c>
      <c r="D9754" t="inlineStr">
        <is>
          <t>VÄSTRA GÖTALANDS LÄN</t>
        </is>
      </c>
      <c r="E9754" t="inlineStr">
        <is>
          <t>ÅMÅL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34133-2022</t>
        </is>
      </c>
      <c r="B9755" s="1" t="n">
        <v>44791.52582175926</v>
      </c>
      <c r="C9755" s="1" t="n">
        <v>46011</v>
      </c>
      <c r="D9755" t="inlineStr">
        <is>
          <t>VÄSTRA GÖTALANDS LÄN</t>
        </is>
      </c>
      <c r="E9755" t="inlineStr">
        <is>
          <t>VÅRGÅRDA</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53253-2023</t>
        </is>
      </c>
      <c r="B9756" s="1" t="n">
        <v>45229.52552083333</v>
      </c>
      <c r="C9756" s="1" t="n">
        <v>46011</v>
      </c>
      <c r="D9756" t="inlineStr">
        <is>
          <t>VÄSTRA GÖTALANDS LÄN</t>
        </is>
      </c>
      <c r="E9756" t="inlineStr">
        <is>
          <t>TIBRO</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60587-2023</t>
        </is>
      </c>
      <c r="B9757" s="1" t="n">
        <v>45259</v>
      </c>
      <c r="C9757" s="1" t="n">
        <v>46011</v>
      </c>
      <c r="D9757" t="inlineStr">
        <is>
          <t>VÄSTRA GÖTALANDS LÄN</t>
        </is>
      </c>
      <c r="E9757" t="inlineStr">
        <is>
          <t>SKÖVDE</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48196-2022</t>
        </is>
      </c>
      <c r="B9758" s="1" t="n">
        <v>44858</v>
      </c>
      <c r="C9758" s="1" t="n">
        <v>46011</v>
      </c>
      <c r="D9758" t="inlineStr">
        <is>
          <t>VÄSTRA GÖTALANDS LÄN</t>
        </is>
      </c>
      <c r="E9758" t="inlineStr">
        <is>
          <t>ULRICEHAMN</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53377-2025</t>
        </is>
      </c>
      <c r="B9759" s="1" t="n">
        <v>45959</v>
      </c>
      <c r="C9759" s="1" t="n">
        <v>46011</v>
      </c>
      <c r="D9759" t="inlineStr">
        <is>
          <t>VÄSTRA GÖTALANDS LÄN</t>
        </is>
      </c>
      <c r="E9759" t="inlineStr">
        <is>
          <t>HERRLJUNGA</t>
        </is>
      </c>
      <c r="G9759" t="n">
        <v>8.9</v>
      </c>
      <c r="H9759" t="n">
        <v>0</v>
      </c>
      <c r="I9759" t="n">
        <v>0</v>
      </c>
      <c r="J9759" t="n">
        <v>0</v>
      </c>
      <c r="K9759" t="n">
        <v>0</v>
      </c>
      <c r="L9759" t="n">
        <v>0</v>
      </c>
      <c r="M9759" t="n">
        <v>0</v>
      </c>
      <c r="N9759" t="n">
        <v>0</v>
      </c>
      <c r="O9759" t="n">
        <v>0</v>
      </c>
      <c r="P9759" t="n">
        <v>0</v>
      </c>
      <c r="Q9759" t="n">
        <v>0</v>
      </c>
      <c r="R9759" s="2" t="inlineStr"/>
    </row>
    <row r="9760" ht="15" customHeight="1">
      <c r="A9760" t="inlineStr">
        <is>
          <t>A 53379-2025</t>
        </is>
      </c>
      <c r="B9760" s="1" t="n">
        <v>45959.53269675926</v>
      </c>
      <c r="C9760" s="1" t="n">
        <v>46011</v>
      </c>
      <c r="D9760" t="inlineStr">
        <is>
          <t>VÄSTRA GÖTALANDS LÄN</t>
        </is>
      </c>
      <c r="E9760" t="inlineStr">
        <is>
          <t>FALKÖPING</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48281-2022</t>
        </is>
      </c>
      <c r="B9761" s="1" t="n">
        <v>44858.49765046296</v>
      </c>
      <c r="C9761" s="1" t="n">
        <v>46011</v>
      </c>
      <c r="D9761" t="inlineStr">
        <is>
          <t>VÄSTRA GÖTALANDS LÄN</t>
        </is>
      </c>
      <c r="E9761" t="inlineStr">
        <is>
          <t>DALS-ED</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53386-2025</t>
        </is>
      </c>
      <c r="B9762" s="1" t="n">
        <v>45959.54478009259</v>
      </c>
      <c r="C9762" s="1" t="n">
        <v>46011</v>
      </c>
      <c r="D9762" t="inlineStr">
        <is>
          <t>VÄSTRA GÖTALANDS LÄN</t>
        </is>
      </c>
      <c r="E9762" t="inlineStr">
        <is>
          <t>ULRICEHAMN</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27157-2023</t>
        </is>
      </c>
      <c r="B9763" s="1" t="n">
        <v>45096.47930555556</v>
      </c>
      <c r="C9763" s="1" t="n">
        <v>46011</v>
      </c>
      <c r="D9763" t="inlineStr">
        <is>
          <t>VÄSTRA GÖTALANDS LÄN</t>
        </is>
      </c>
      <c r="E9763" t="inlineStr">
        <is>
          <t>TRANEMO</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61628-2025</t>
        </is>
      </c>
      <c r="B9764" s="1" t="n">
        <v>46002.40396990741</v>
      </c>
      <c r="C9764" s="1" t="n">
        <v>46011</v>
      </c>
      <c r="D9764" t="inlineStr">
        <is>
          <t>VÄSTRA GÖTALANDS LÄN</t>
        </is>
      </c>
      <c r="E9764" t="inlineStr">
        <is>
          <t>LERUM</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18756-2025</t>
        </is>
      </c>
      <c r="B9765" s="1" t="n">
        <v>45763.8155787037</v>
      </c>
      <c r="C9765" s="1" t="n">
        <v>46011</v>
      </c>
      <c r="D9765" t="inlineStr">
        <is>
          <t>VÄSTRA GÖTALANDS LÄN</t>
        </is>
      </c>
      <c r="E9765" t="inlineStr">
        <is>
          <t>HERRLJUNGA</t>
        </is>
      </c>
      <c r="F9765" t="inlineStr">
        <is>
          <t>Sveaskog</t>
        </is>
      </c>
      <c r="G9765" t="n">
        <v>15.2</v>
      </c>
      <c r="H9765" t="n">
        <v>0</v>
      </c>
      <c r="I9765" t="n">
        <v>0</v>
      </c>
      <c r="J9765" t="n">
        <v>0</v>
      </c>
      <c r="K9765" t="n">
        <v>0</v>
      </c>
      <c r="L9765" t="n">
        <v>0</v>
      </c>
      <c r="M9765" t="n">
        <v>0</v>
      </c>
      <c r="N9765" t="n">
        <v>0</v>
      </c>
      <c r="O9765" t="n">
        <v>0</v>
      </c>
      <c r="P9765" t="n">
        <v>0</v>
      </c>
      <c r="Q9765" t="n">
        <v>0</v>
      </c>
      <c r="R9765" s="2" t="inlineStr"/>
    </row>
    <row r="9766" ht="15" customHeight="1">
      <c r="A9766" t="inlineStr">
        <is>
          <t>A 18769-2025</t>
        </is>
      </c>
      <c r="B9766" s="1" t="n">
        <v>45764.29959490741</v>
      </c>
      <c r="C9766" s="1" t="n">
        <v>46011</v>
      </c>
      <c r="D9766" t="inlineStr">
        <is>
          <t>VÄSTRA GÖTALANDS LÄN</t>
        </is>
      </c>
      <c r="E9766" t="inlineStr">
        <is>
          <t>BENGTSFORS</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58286-2022</t>
        </is>
      </c>
      <c r="B9767" s="1" t="n">
        <v>44901.49652777778</v>
      </c>
      <c r="C9767" s="1" t="n">
        <v>46011</v>
      </c>
      <c r="D9767" t="inlineStr">
        <is>
          <t>VÄSTRA GÖTALANDS LÄN</t>
        </is>
      </c>
      <c r="E9767" t="inlineStr">
        <is>
          <t>MARIESTAD</t>
        </is>
      </c>
      <c r="F9767" t="inlineStr">
        <is>
          <t>Kyrkan</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53661-2025</t>
        </is>
      </c>
      <c r="B9768" s="1" t="n">
        <v>45960.54053240741</v>
      </c>
      <c r="C9768" s="1" t="n">
        <v>46011</v>
      </c>
      <c r="D9768" t="inlineStr">
        <is>
          <t>VÄSTRA GÖTALANDS LÄN</t>
        </is>
      </c>
      <c r="E9768" t="inlineStr">
        <is>
          <t>ALINGSÅS</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5647-2025</t>
        </is>
      </c>
      <c r="B9769" s="1" t="n">
        <v>45693.69725694445</v>
      </c>
      <c r="C9769" s="1" t="n">
        <v>46011</v>
      </c>
      <c r="D9769" t="inlineStr">
        <is>
          <t>VÄSTRA GÖTALANDS LÄN</t>
        </is>
      </c>
      <c r="E9769" t="inlineStr">
        <is>
          <t>ULRICEHAMN</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5660-2025</t>
        </is>
      </c>
      <c r="B9770" s="1" t="n">
        <v>45693.74730324074</v>
      </c>
      <c r="C9770" s="1" t="n">
        <v>46011</v>
      </c>
      <c r="D9770" t="inlineStr">
        <is>
          <t>VÄSTRA GÖTALANDS LÄN</t>
        </is>
      </c>
      <c r="E9770" t="inlineStr">
        <is>
          <t>DALS-ED</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57365-2022</t>
        </is>
      </c>
      <c r="B9771" s="1" t="n">
        <v>44896.43377314815</v>
      </c>
      <c r="C9771" s="1" t="n">
        <v>46011</v>
      </c>
      <c r="D9771" t="inlineStr">
        <is>
          <t>VÄSTRA GÖTALANDS LÄN</t>
        </is>
      </c>
      <c r="E9771" t="inlineStr">
        <is>
          <t>BORÅS</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50359-2023</t>
        </is>
      </c>
      <c r="B9772" s="1" t="n">
        <v>45216</v>
      </c>
      <c r="C9772" s="1" t="n">
        <v>46011</v>
      </c>
      <c r="D9772" t="inlineStr">
        <is>
          <t>VÄSTRA GÖTALANDS LÄN</t>
        </is>
      </c>
      <c r="E9772" t="inlineStr">
        <is>
          <t>BORÅS</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50234-2024</t>
        </is>
      </c>
      <c r="B9773" s="1" t="n">
        <v>45600.55275462963</v>
      </c>
      <c r="C9773" s="1" t="n">
        <v>46011</v>
      </c>
      <c r="D9773" t="inlineStr">
        <is>
          <t>VÄSTRA GÖTALANDS LÄN</t>
        </is>
      </c>
      <c r="E9773" t="inlineStr">
        <is>
          <t>STRÖMSTAD</t>
        </is>
      </c>
      <c r="G9773" t="n">
        <v>7.6</v>
      </c>
      <c r="H9773" t="n">
        <v>0</v>
      </c>
      <c r="I9773" t="n">
        <v>0</v>
      </c>
      <c r="J9773" t="n">
        <v>0</v>
      </c>
      <c r="K9773" t="n">
        <v>0</v>
      </c>
      <c r="L9773" t="n">
        <v>0</v>
      </c>
      <c r="M9773" t="n">
        <v>0</v>
      </c>
      <c r="N9773" t="n">
        <v>0</v>
      </c>
      <c r="O9773" t="n">
        <v>0</v>
      </c>
      <c r="P9773" t="n">
        <v>0</v>
      </c>
      <c r="Q9773" t="n">
        <v>0</v>
      </c>
      <c r="R9773" s="2" t="inlineStr"/>
    </row>
    <row r="9774" ht="15" customHeight="1">
      <c r="A9774" t="inlineStr">
        <is>
          <t>A 61319-2025</t>
        </is>
      </c>
      <c r="B9774" s="1" t="n">
        <v>46000.94983796297</v>
      </c>
      <c r="C9774" s="1" t="n">
        <v>46011</v>
      </c>
      <c r="D9774" t="inlineStr">
        <is>
          <t>VÄSTRA GÖTALANDS LÄN</t>
        </is>
      </c>
      <c r="E9774" t="inlineStr">
        <is>
          <t>ORUST</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61380-2025</t>
        </is>
      </c>
      <c r="B9775" s="1" t="n">
        <v>46001.44486111111</v>
      </c>
      <c r="C9775" s="1" t="n">
        <v>46011</v>
      </c>
      <c r="D9775" t="inlineStr">
        <is>
          <t>VÄSTRA GÖTALANDS LÄN</t>
        </is>
      </c>
      <c r="E9775" t="inlineStr">
        <is>
          <t>MARK</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53730-2025</t>
        </is>
      </c>
      <c r="B9776" s="1" t="n">
        <v>45960.6391087963</v>
      </c>
      <c r="C9776" s="1" t="n">
        <v>46011</v>
      </c>
      <c r="D9776" t="inlineStr">
        <is>
          <t>VÄSTRA GÖTALANDS LÄN</t>
        </is>
      </c>
      <c r="E9776" t="inlineStr">
        <is>
          <t>BENGTSFORS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6769-2024</t>
        </is>
      </c>
      <c r="B9777" s="1" t="n">
        <v>45342.49421296296</v>
      </c>
      <c r="C9777" s="1" t="n">
        <v>46011</v>
      </c>
      <c r="D9777" t="inlineStr">
        <is>
          <t>VÄSTRA GÖTALANDS LÄN</t>
        </is>
      </c>
      <c r="E9777" t="inlineStr">
        <is>
          <t>SVENLJUNGA</t>
        </is>
      </c>
      <c r="F9777" t="inlineStr">
        <is>
          <t>Sveaskog</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45881-2024</t>
        </is>
      </c>
      <c r="B9778" s="1" t="n">
        <v>45580</v>
      </c>
      <c r="C9778" s="1" t="n">
        <v>46011</v>
      </c>
      <c r="D9778" t="inlineStr">
        <is>
          <t>VÄSTRA GÖTALANDS LÄN</t>
        </is>
      </c>
      <c r="E9778" t="inlineStr">
        <is>
          <t>TIBRO</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61807-2025</t>
        </is>
      </c>
      <c r="B9779" s="1" t="n">
        <v>46002</v>
      </c>
      <c r="C9779" s="1" t="n">
        <v>46011</v>
      </c>
      <c r="D9779" t="inlineStr">
        <is>
          <t>VÄSTRA GÖTALANDS LÄN</t>
        </is>
      </c>
      <c r="E9779" t="inlineStr">
        <is>
          <t>GULLSPÅNG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59285-2022</t>
        </is>
      </c>
      <c r="B9780" s="1" t="n">
        <v>44904.60618055556</v>
      </c>
      <c r="C9780" s="1" t="n">
        <v>46011</v>
      </c>
      <c r="D9780" t="inlineStr">
        <is>
          <t>VÄSTRA GÖTALANDS LÄN</t>
        </is>
      </c>
      <c r="E9780" t="inlineStr">
        <is>
          <t>BENGTSFORS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26852-2023</t>
        </is>
      </c>
      <c r="B9781" s="1" t="n">
        <v>45093.56304398148</v>
      </c>
      <c r="C9781" s="1" t="n">
        <v>46011</v>
      </c>
      <c r="D9781" t="inlineStr">
        <is>
          <t>VÄSTRA GÖTALANDS LÄN</t>
        </is>
      </c>
      <c r="E9781" t="inlineStr">
        <is>
          <t>MARK</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23887-2024</t>
        </is>
      </c>
      <c r="B9782" s="1" t="n">
        <v>45455.6478587963</v>
      </c>
      <c r="C9782" s="1" t="n">
        <v>46011</v>
      </c>
      <c r="D9782" t="inlineStr">
        <is>
          <t>VÄSTRA GÖTALANDS LÄN</t>
        </is>
      </c>
      <c r="E9782" t="inlineStr">
        <is>
          <t>UDDEVALLA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16303-2024</t>
        </is>
      </c>
      <c r="B9783" s="1" t="n">
        <v>45407.42170138889</v>
      </c>
      <c r="C9783" s="1" t="n">
        <v>46011</v>
      </c>
      <c r="D9783" t="inlineStr">
        <is>
          <t>VÄSTRA GÖTALANDS LÄN</t>
        </is>
      </c>
      <c r="E9783" t="inlineStr">
        <is>
          <t>BENGTSFORS</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370-2025</t>
        </is>
      </c>
      <c r="B9784" s="1" t="n">
        <v>45661.54579861111</v>
      </c>
      <c r="C9784" s="1" t="n">
        <v>46011</v>
      </c>
      <c r="D9784" t="inlineStr">
        <is>
          <t>VÄSTRA GÖTALANDS LÄN</t>
        </is>
      </c>
      <c r="E9784" t="inlineStr">
        <is>
          <t>TROLLHÄTTAN</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12945-2024</t>
        </is>
      </c>
      <c r="B9785" s="1" t="n">
        <v>45385.47545138889</v>
      </c>
      <c r="C9785" s="1" t="n">
        <v>46011</v>
      </c>
      <c r="D9785" t="inlineStr">
        <is>
          <t>VÄSTRA GÖTALANDS LÄN</t>
        </is>
      </c>
      <c r="E9785" t="inlineStr">
        <is>
          <t>STRÖMSTAD</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25887-2024</t>
        </is>
      </c>
      <c r="B9786" s="1" t="n">
        <v>45467.50221064815</v>
      </c>
      <c r="C9786" s="1" t="n">
        <v>46011</v>
      </c>
      <c r="D9786" t="inlineStr">
        <is>
          <t>VÄSTRA GÖTALANDS LÄN</t>
        </is>
      </c>
      <c r="E9786" t="inlineStr">
        <is>
          <t>BENGTSFORS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58988-2022</t>
        </is>
      </c>
      <c r="B9787" s="1" t="n">
        <v>44903</v>
      </c>
      <c r="C9787" s="1" t="n">
        <v>46011</v>
      </c>
      <c r="D9787" t="inlineStr">
        <is>
          <t>VÄSTRA GÖTALANDS LÄN</t>
        </is>
      </c>
      <c r="E9787" t="inlineStr">
        <is>
          <t>TIDAHOLM</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4396-2023</t>
        </is>
      </c>
      <c r="B9788" s="1" t="n">
        <v>44956.29600694445</v>
      </c>
      <c r="C9788" s="1" t="n">
        <v>46011</v>
      </c>
      <c r="D9788" t="inlineStr">
        <is>
          <t>VÄSTRA GÖTALANDS LÄN</t>
        </is>
      </c>
      <c r="E9788" t="inlineStr">
        <is>
          <t>FALKÖPING</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58998-2022</t>
        </is>
      </c>
      <c r="B9789" s="1" t="n">
        <v>44903.72783564815</v>
      </c>
      <c r="C9789" s="1" t="n">
        <v>46011</v>
      </c>
      <c r="D9789" t="inlineStr">
        <is>
          <t>VÄSTRA GÖTALANDS LÄN</t>
        </is>
      </c>
      <c r="E9789" t="inlineStr">
        <is>
          <t>FALKÖPING</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53527-2025</t>
        </is>
      </c>
      <c r="B9790" s="1" t="n">
        <v>45960.36168981482</v>
      </c>
      <c r="C9790" s="1" t="n">
        <v>46011</v>
      </c>
      <c r="D9790" t="inlineStr">
        <is>
          <t>VÄSTRA GÖTALANDS LÄN</t>
        </is>
      </c>
      <c r="E9790" t="inlineStr">
        <is>
          <t>SKARA</t>
        </is>
      </c>
      <c r="F9790" t="inlineStr">
        <is>
          <t>Kyrkan</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26534-2023</t>
        </is>
      </c>
      <c r="B9791" s="1" t="n">
        <v>45092.58068287037</v>
      </c>
      <c r="C9791" s="1" t="n">
        <v>46011</v>
      </c>
      <c r="D9791" t="inlineStr">
        <is>
          <t>VÄSTRA GÖTALANDS LÄN</t>
        </is>
      </c>
      <c r="E9791" t="inlineStr">
        <is>
          <t>DALS-ED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26563-2023</t>
        </is>
      </c>
      <c r="B9792" s="1" t="n">
        <v>45092</v>
      </c>
      <c r="C9792" s="1" t="n">
        <v>46011</v>
      </c>
      <c r="D9792" t="inlineStr">
        <is>
          <t>VÄSTRA GÖTALANDS LÄN</t>
        </is>
      </c>
      <c r="E9792" t="inlineStr">
        <is>
          <t>FALKÖPING</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143-2023</t>
        </is>
      </c>
      <c r="B9793" s="1" t="n">
        <v>44928.53378472223</v>
      </c>
      <c r="C9793" s="1" t="n">
        <v>46011</v>
      </c>
      <c r="D9793" t="inlineStr">
        <is>
          <t>VÄSTRA GÖTALANDS LÄN</t>
        </is>
      </c>
      <c r="E9793" t="inlineStr">
        <is>
          <t>KUNGÄLV</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29225-2023</t>
        </is>
      </c>
      <c r="B9794" s="1" t="n">
        <v>45105</v>
      </c>
      <c r="C9794" s="1" t="n">
        <v>46011</v>
      </c>
      <c r="D9794" t="inlineStr">
        <is>
          <t>VÄSTRA GÖTALANDS LÄN</t>
        </is>
      </c>
      <c r="E9794" t="inlineStr">
        <is>
          <t>FALKÖPING</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13858-2024</t>
        </is>
      </c>
      <c r="B9795" s="1" t="n">
        <v>45391.5203587963</v>
      </c>
      <c r="C9795" s="1" t="n">
        <v>46011</v>
      </c>
      <c r="D9795" t="inlineStr">
        <is>
          <t>VÄSTRA GÖTALANDS LÄN</t>
        </is>
      </c>
      <c r="E9795" t="inlineStr">
        <is>
          <t>ALINGSÅS</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59838-2022</t>
        </is>
      </c>
      <c r="B9796" s="1" t="n">
        <v>44908.62335648148</v>
      </c>
      <c r="C9796" s="1" t="n">
        <v>46011</v>
      </c>
      <c r="D9796" t="inlineStr">
        <is>
          <t>VÄSTRA GÖTALANDS LÄN</t>
        </is>
      </c>
      <c r="E9796" t="inlineStr">
        <is>
          <t>HERRLJUNGA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53745-2025</t>
        </is>
      </c>
      <c r="B9797" s="1" t="n">
        <v>45960.64942129629</v>
      </c>
      <c r="C9797" s="1" t="n">
        <v>46011</v>
      </c>
      <c r="D9797" t="inlineStr">
        <is>
          <t>VÄSTRA GÖTALANDS LÄN</t>
        </is>
      </c>
      <c r="E9797" t="inlineStr">
        <is>
          <t>BENGTSFORS</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20908-2023</t>
        </is>
      </c>
      <c r="B9798" s="1" t="n">
        <v>45060</v>
      </c>
      <c r="C9798" s="1" t="n">
        <v>46011</v>
      </c>
      <c r="D9798" t="inlineStr">
        <is>
          <t>VÄSTRA GÖTALANDS LÄN</t>
        </is>
      </c>
      <c r="E9798" t="inlineStr">
        <is>
          <t>BENGTSFORS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53518-2025</t>
        </is>
      </c>
      <c r="B9799" s="1" t="n">
        <v>45960.35179398148</v>
      </c>
      <c r="C9799" s="1" t="n">
        <v>46011</v>
      </c>
      <c r="D9799" t="inlineStr">
        <is>
          <t>VÄSTRA GÖTALANDS LÄN</t>
        </is>
      </c>
      <c r="E9799" t="inlineStr">
        <is>
          <t>ULRICEHAMN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61679-2025</t>
        </is>
      </c>
      <c r="B9800" s="1" t="n">
        <v>46002.48991898148</v>
      </c>
      <c r="C9800" s="1" t="n">
        <v>46011</v>
      </c>
      <c r="D9800" t="inlineStr">
        <is>
          <t>VÄSTRA GÖTALANDS LÄN</t>
        </is>
      </c>
      <c r="E9800" t="inlineStr">
        <is>
          <t>TIDAHOLM</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21581-2023</t>
        </is>
      </c>
      <c r="B9801" s="1" t="n">
        <v>45063</v>
      </c>
      <c r="C9801" s="1" t="n">
        <v>46011</v>
      </c>
      <c r="D9801" t="inlineStr">
        <is>
          <t>VÄSTRA GÖTALANDS LÄN</t>
        </is>
      </c>
      <c r="E9801" t="inlineStr">
        <is>
          <t>UDDEVALLA</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26749-2023</t>
        </is>
      </c>
      <c r="B9802" s="1" t="n">
        <v>45093</v>
      </c>
      <c r="C9802" s="1" t="n">
        <v>46011</v>
      </c>
      <c r="D9802" t="inlineStr">
        <is>
          <t>VÄSTRA GÖTALANDS LÄN</t>
        </is>
      </c>
      <c r="E9802" t="inlineStr">
        <is>
          <t>ULRICEHAMN</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26819-2023</t>
        </is>
      </c>
      <c r="B9803" s="1" t="n">
        <v>45093</v>
      </c>
      <c r="C9803" s="1" t="n">
        <v>46011</v>
      </c>
      <c r="D9803" t="inlineStr">
        <is>
          <t>VÄSTRA GÖTALANDS LÄN</t>
        </is>
      </c>
      <c r="E9803" t="inlineStr">
        <is>
          <t>TRANEMO</t>
        </is>
      </c>
      <c r="F9803" t="inlineStr">
        <is>
          <t>Kommuner</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30078-2023</t>
        </is>
      </c>
      <c r="B9804" s="1" t="n">
        <v>45110.43325231481</v>
      </c>
      <c r="C9804" s="1" t="n">
        <v>46011</v>
      </c>
      <c r="D9804" t="inlineStr">
        <is>
          <t>VÄSTRA GÖTALANDS LÄN</t>
        </is>
      </c>
      <c r="E9804" t="inlineStr">
        <is>
          <t>BORÅS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30080-2023</t>
        </is>
      </c>
      <c r="B9805" s="1" t="n">
        <v>45110.43502314815</v>
      </c>
      <c r="C9805" s="1" t="n">
        <v>46011</v>
      </c>
      <c r="D9805" t="inlineStr">
        <is>
          <t>VÄSTRA GÖTALANDS LÄN</t>
        </is>
      </c>
      <c r="E9805" t="inlineStr">
        <is>
          <t>SKARA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30083-2023</t>
        </is>
      </c>
      <c r="B9806" s="1" t="n">
        <v>45110.43634259259</v>
      </c>
      <c r="C9806" s="1" t="n">
        <v>46011</v>
      </c>
      <c r="D9806" t="inlineStr">
        <is>
          <t>VÄSTRA GÖTALANDS LÄN</t>
        </is>
      </c>
      <c r="E9806" t="inlineStr">
        <is>
          <t>SKARA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53701-2025</t>
        </is>
      </c>
      <c r="B9807" s="1" t="n">
        <v>45960.59478009259</v>
      </c>
      <c r="C9807" s="1" t="n">
        <v>46011</v>
      </c>
      <c r="D9807" t="inlineStr">
        <is>
          <t>VÄSTRA GÖTALANDS LÄN</t>
        </is>
      </c>
      <c r="E9807" t="inlineStr">
        <is>
          <t>FALKÖPING</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51810-2025</t>
        </is>
      </c>
      <c r="B9808" s="1" t="n">
        <v>45951</v>
      </c>
      <c r="C9808" s="1" t="n">
        <v>46011</v>
      </c>
      <c r="D9808" t="inlineStr">
        <is>
          <t>VÄSTRA GÖTALANDS LÄN</t>
        </is>
      </c>
      <c r="E9808" t="inlineStr">
        <is>
          <t>BORÅS</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28258-2023</t>
        </is>
      </c>
      <c r="B9809" s="1" t="n">
        <v>45099</v>
      </c>
      <c r="C9809" s="1" t="n">
        <v>46011</v>
      </c>
      <c r="D9809" t="inlineStr">
        <is>
          <t>VÄSTRA GÖTALANDS LÄN</t>
        </is>
      </c>
      <c r="E9809" t="inlineStr">
        <is>
          <t>GÖTENE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53536-2025</t>
        </is>
      </c>
      <c r="B9810" s="1" t="n">
        <v>45960.37158564815</v>
      </c>
      <c r="C9810" s="1" t="n">
        <v>46011</v>
      </c>
      <c r="D9810" t="inlineStr">
        <is>
          <t>VÄSTRA GÖTALANDS LÄN</t>
        </is>
      </c>
      <c r="E9810" t="inlineStr">
        <is>
          <t>ÅMÅL</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63761-2023</t>
        </is>
      </c>
      <c r="B9811" s="1" t="n">
        <v>45278</v>
      </c>
      <c r="C9811" s="1" t="n">
        <v>46011</v>
      </c>
      <c r="D9811" t="inlineStr">
        <is>
          <t>VÄSTRA GÖTALANDS LÄN</t>
        </is>
      </c>
      <c r="E9811" t="inlineStr">
        <is>
          <t>FÄRGELANDA</t>
        </is>
      </c>
      <c r="G9811" t="n">
        <v>6.5</v>
      </c>
      <c r="H9811" t="n">
        <v>0</v>
      </c>
      <c r="I9811" t="n">
        <v>0</v>
      </c>
      <c r="J9811" t="n">
        <v>0</v>
      </c>
      <c r="K9811" t="n">
        <v>0</v>
      </c>
      <c r="L9811" t="n">
        <v>0</v>
      </c>
      <c r="M9811" t="n">
        <v>0</v>
      </c>
      <c r="N9811" t="n">
        <v>0</v>
      </c>
      <c r="O9811" t="n">
        <v>0</v>
      </c>
      <c r="P9811" t="n">
        <v>0</v>
      </c>
      <c r="Q9811" t="n">
        <v>0</v>
      </c>
      <c r="R9811" s="2" t="inlineStr"/>
    </row>
    <row r="9812" ht="15" customHeight="1">
      <c r="A9812" t="inlineStr">
        <is>
          <t>A 36041-2023</t>
        </is>
      </c>
      <c r="B9812" s="1" t="n">
        <v>45149.40692129629</v>
      </c>
      <c r="C9812" s="1" t="n">
        <v>46011</v>
      </c>
      <c r="D9812" t="inlineStr">
        <is>
          <t>VÄSTRA GÖTALANDS LÄN</t>
        </is>
      </c>
      <c r="E9812" t="inlineStr">
        <is>
          <t>SKARA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36045-2023</t>
        </is>
      </c>
      <c r="B9813" s="1" t="n">
        <v>45149</v>
      </c>
      <c r="C9813" s="1" t="n">
        <v>46011</v>
      </c>
      <c r="D9813" t="inlineStr">
        <is>
          <t>VÄSTRA GÖTALANDS LÄN</t>
        </is>
      </c>
      <c r="E9813" t="inlineStr">
        <is>
          <t>SKARA</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61730-2025</t>
        </is>
      </c>
      <c r="B9814" s="1" t="n">
        <v>46002.59131944444</v>
      </c>
      <c r="C9814" s="1" t="n">
        <v>46011</v>
      </c>
      <c r="D9814" t="inlineStr">
        <is>
          <t>VÄSTRA GÖTALANDS LÄN</t>
        </is>
      </c>
      <c r="E9814" t="inlineStr">
        <is>
          <t>BENGTSFORS</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29750-2023</t>
        </is>
      </c>
      <c r="B9815" s="1" t="n">
        <v>45107</v>
      </c>
      <c r="C9815" s="1" t="n">
        <v>46011</v>
      </c>
      <c r="D9815" t="inlineStr">
        <is>
          <t>VÄSTRA GÖTALANDS LÄN</t>
        </is>
      </c>
      <c r="E9815" t="inlineStr">
        <is>
          <t>FALKÖPING</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14599-2024</t>
        </is>
      </c>
      <c r="B9816" s="1" t="n">
        <v>45395</v>
      </c>
      <c r="C9816" s="1" t="n">
        <v>46011</v>
      </c>
      <c r="D9816" t="inlineStr">
        <is>
          <t>VÄSTRA GÖTALANDS LÄN</t>
        </is>
      </c>
      <c r="E9816" t="inlineStr">
        <is>
          <t>ULRICEHAMN</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61320-2025</t>
        </is>
      </c>
      <c r="B9817" s="1" t="n">
        <v>46000.95591435185</v>
      </c>
      <c r="C9817" s="1" t="n">
        <v>46011</v>
      </c>
      <c r="D9817" t="inlineStr">
        <is>
          <t>VÄSTRA GÖTALANDS LÄN</t>
        </is>
      </c>
      <c r="E9817" t="inlineStr">
        <is>
          <t>ORUST</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50720-2023</t>
        </is>
      </c>
      <c r="B9818" s="1" t="n">
        <v>45217</v>
      </c>
      <c r="C9818" s="1" t="n">
        <v>46011</v>
      </c>
      <c r="D9818" t="inlineStr">
        <is>
          <t>VÄSTRA GÖTALANDS LÄN</t>
        </is>
      </c>
      <c r="E9818" t="inlineStr">
        <is>
          <t>FALKÖPING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61305-2025</t>
        </is>
      </c>
      <c r="B9819" s="1" t="n">
        <v>46000</v>
      </c>
      <c r="C9819" s="1" t="n">
        <v>46011</v>
      </c>
      <c r="D9819" t="inlineStr">
        <is>
          <t>VÄSTRA GÖTALANDS LÄN</t>
        </is>
      </c>
      <c r="E9819" t="inlineStr">
        <is>
          <t>DALS-ED</t>
        </is>
      </c>
      <c r="F9819" t="inlineStr">
        <is>
          <t>Bergvik skog väst AB</t>
        </is>
      </c>
      <c r="G9819" t="n">
        <v>6.5</v>
      </c>
      <c r="H9819" t="n">
        <v>0</v>
      </c>
      <c r="I9819" t="n">
        <v>0</v>
      </c>
      <c r="J9819" t="n">
        <v>0</v>
      </c>
      <c r="K9819" t="n">
        <v>0</v>
      </c>
      <c r="L9819" t="n">
        <v>0</v>
      </c>
      <c r="M9819" t="n">
        <v>0</v>
      </c>
      <c r="N9819" t="n">
        <v>0</v>
      </c>
      <c r="O9819" t="n">
        <v>0</v>
      </c>
      <c r="P9819" t="n">
        <v>0</v>
      </c>
      <c r="Q9819" t="n">
        <v>0</v>
      </c>
      <c r="R9819" s="2" t="inlineStr"/>
    </row>
    <row r="9820" ht="15" customHeight="1">
      <c r="A9820" t="inlineStr">
        <is>
          <t>A 61700-2025</t>
        </is>
      </c>
      <c r="B9820" s="1" t="n">
        <v>46002.53287037037</v>
      </c>
      <c r="C9820" s="1" t="n">
        <v>46011</v>
      </c>
      <c r="D9820" t="inlineStr">
        <is>
          <t>VÄSTRA GÖTALANDS LÄN</t>
        </is>
      </c>
      <c r="E9820" t="inlineStr">
        <is>
          <t>SKÖVDE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61701-2025</t>
        </is>
      </c>
      <c r="B9821" s="1" t="n">
        <v>46002.53532407407</v>
      </c>
      <c r="C9821" s="1" t="n">
        <v>46011</v>
      </c>
      <c r="D9821" t="inlineStr">
        <is>
          <t>VÄSTRA GÖTALANDS LÄN</t>
        </is>
      </c>
      <c r="E9821" t="inlineStr">
        <is>
          <t>TIBRO</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50722-2023</t>
        </is>
      </c>
      <c r="B9822" s="1" t="n">
        <v>45217.57265046296</v>
      </c>
      <c r="C9822" s="1" t="n">
        <v>46011</v>
      </c>
      <c r="D9822" t="inlineStr">
        <is>
          <t>VÄSTRA GÖTALANDS LÄN</t>
        </is>
      </c>
      <c r="E9822" t="inlineStr">
        <is>
          <t>FALKÖPING</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53497-2025</t>
        </is>
      </c>
      <c r="B9823" s="1" t="n">
        <v>45960.33063657407</v>
      </c>
      <c r="C9823" s="1" t="n">
        <v>46011</v>
      </c>
      <c r="D9823" t="inlineStr">
        <is>
          <t>VÄSTRA GÖTALANDS LÄN</t>
        </is>
      </c>
      <c r="E9823" t="inlineStr">
        <is>
          <t>ULRICEHAMN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61569-2025</t>
        </is>
      </c>
      <c r="B9824" s="1" t="n">
        <v>46002.26813657407</v>
      </c>
      <c r="C9824" s="1" t="n">
        <v>46011</v>
      </c>
      <c r="D9824" t="inlineStr">
        <is>
          <t>VÄSTRA GÖTALANDS LÄN</t>
        </is>
      </c>
      <c r="E9824" t="inlineStr">
        <is>
          <t>SVENLJUNGA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448-2024</t>
        </is>
      </c>
      <c r="B9825" s="1" t="n">
        <v>45296</v>
      </c>
      <c r="C9825" s="1" t="n">
        <v>46011</v>
      </c>
      <c r="D9825" t="inlineStr">
        <is>
          <t>VÄSTRA GÖTALANDS LÄN</t>
        </is>
      </c>
      <c r="E9825" t="inlineStr">
        <is>
          <t>MUNKEDAL</t>
        </is>
      </c>
      <c r="F9825" t="inlineStr">
        <is>
          <t>Kyrkan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61731-2025</t>
        </is>
      </c>
      <c r="B9826" s="1" t="n">
        <v>46002.59304398148</v>
      </c>
      <c r="C9826" s="1" t="n">
        <v>46011</v>
      </c>
      <c r="D9826" t="inlineStr">
        <is>
          <t>VÄSTRA GÖTALANDS LÄN</t>
        </is>
      </c>
      <c r="E9826" t="inlineStr">
        <is>
          <t>VÅRGÅRDA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53645-2025</t>
        </is>
      </c>
      <c r="B9827" s="1" t="n">
        <v>45960.51917824074</v>
      </c>
      <c r="C9827" s="1" t="n">
        <v>46011</v>
      </c>
      <c r="D9827" t="inlineStr">
        <is>
          <t>VÄSTRA GÖTALANDS LÄN</t>
        </is>
      </c>
      <c r="E9827" t="inlineStr">
        <is>
          <t>KARLSBORG</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18166-2025</t>
        </is>
      </c>
      <c r="B9828" s="1" t="n">
        <v>45761.63997685185</v>
      </c>
      <c r="C9828" s="1" t="n">
        <v>46011</v>
      </c>
      <c r="D9828" t="inlineStr">
        <is>
          <t>VÄSTRA GÖTALANDS LÄN</t>
        </is>
      </c>
      <c r="E9828" t="inlineStr">
        <is>
          <t>MARK</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53276-2025</t>
        </is>
      </c>
      <c r="B9829" s="1" t="n">
        <v>45958.75099537037</v>
      </c>
      <c r="C9829" s="1" t="n">
        <v>46011</v>
      </c>
      <c r="D9829" t="inlineStr">
        <is>
          <t>VÄSTRA GÖTALANDS LÄN</t>
        </is>
      </c>
      <c r="E9829" t="inlineStr">
        <is>
          <t>FÄRGELANDA</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18183-2025</t>
        </is>
      </c>
      <c r="B9830" s="1" t="n">
        <v>45761.66307870371</v>
      </c>
      <c r="C9830" s="1" t="n">
        <v>46011</v>
      </c>
      <c r="D9830" t="inlineStr">
        <is>
          <t>VÄSTRA GÖTALANDS LÄN</t>
        </is>
      </c>
      <c r="E9830" t="inlineStr">
        <is>
          <t>TRANEMO</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53318-2025</t>
        </is>
      </c>
      <c r="B9831" s="1" t="n">
        <v>45959.35469907407</v>
      </c>
      <c r="C9831" s="1" t="n">
        <v>46011</v>
      </c>
      <c r="D9831" t="inlineStr">
        <is>
          <t>VÄSTRA GÖTALANDS LÄN</t>
        </is>
      </c>
      <c r="E9831" t="inlineStr">
        <is>
          <t>MARK</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8011-2021</t>
        </is>
      </c>
      <c r="B9832" s="1" t="n">
        <v>44243</v>
      </c>
      <c r="C9832" s="1" t="n">
        <v>46011</v>
      </c>
      <c r="D9832" t="inlineStr">
        <is>
          <t>VÄSTRA GÖTALANDS LÄN</t>
        </is>
      </c>
      <c r="E9832" t="inlineStr">
        <is>
          <t>ALINGSÅS</t>
        </is>
      </c>
      <c r="F9832" t="inlineStr">
        <is>
          <t>Kyrkan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15177-2025</t>
        </is>
      </c>
      <c r="B9833" s="1" t="n">
        <v>45744.51998842593</v>
      </c>
      <c r="C9833" s="1" t="n">
        <v>46011</v>
      </c>
      <c r="D9833" t="inlineStr">
        <is>
          <t>VÄSTRA GÖTALANDS LÄN</t>
        </is>
      </c>
      <c r="E9833" t="inlineStr">
        <is>
          <t>BENGTSFORS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16330-2025</t>
        </is>
      </c>
      <c r="B9834" s="1" t="n">
        <v>45751.36060185185</v>
      </c>
      <c r="C9834" s="1" t="n">
        <v>46011</v>
      </c>
      <c r="D9834" t="inlineStr">
        <is>
          <t>VÄSTRA GÖTALANDS LÄN</t>
        </is>
      </c>
      <c r="E9834" t="inlineStr">
        <is>
          <t>UDDEVALLA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61535-2025</t>
        </is>
      </c>
      <c r="B9835" s="1" t="n">
        <v>46001</v>
      </c>
      <c r="C9835" s="1" t="n">
        <v>46011</v>
      </c>
      <c r="D9835" t="inlineStr">
        <is>
          <t>VÄSTRA GÖTALANDS LÄN</t>
        </is>
      </c>
      <c r="E9835" t="inlineStr">
        <is>
          <t>TROLLHÄTTAN</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61536-2025</t>
        </is>
      </c>
      <c r="B9836" s="1" t="n">
        <v>46001.71747685185</v>
      </c>
      <c r="C9836" s="1" t="n">
        <v>46011</v>
      </c>
      <c r="D9836" t="inlineStr">
        <is>
          <t>VÄSTRA GÖTALANDS LÄN</t>
        </is>
      </c>
      <c r="E9836" t="inlineStr">
        <is>
          <t>ULRICEHAMN</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61537-2025</t>
        </is>
      </c>
      <c r="B9837" s="1" t="n">
        <v>46001.71782407408</v>
      </c>
      <c r="C9837" s="1" t="n">
        <v>46011</v>
      </c>
      <c r="D9837" t="inlineStr">
        <is>
          <t>VÄSTRA GÖTALANDS LÄN</t>
        </is>
      </c>
      <c r="E9837" t="inlineStr">
        <is>
          <t>ULRICEHAMN</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61539-2025</t>
        </is>
      </c>
      <c r="B9838" s="1" t="n">
        <v>46001</v>
      </c>
      <c r="C9838" s="1" t="n">
        <v>46011</v>
      </c>
      <c r="D9838" t="inlineStr">
        <is>
          <t>VÄSTRA GÖTALANDS LÄN</t>
        </is>
      </c>
      <c r="E9838" t="inlineStr">
        <is>
          <t>TROLLHÄTTAN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16381-2025</t>
        </is>
      </c>
      <c r="B9839" s="1" t="n">
        <v>45751.41517361111</v>
      </c>
      <c r="C9839" s="1" t="n">
        <v>46011</v>
      </c>
      <c r="D9839" t="inlineStr">
        <is>
          <t>VÄSTRA GÖTALANDS LÄN</t>
        </is>
      </c>
      <c r="E9839" t="inlineStr">
        <is>
          <t>SVENLJUNGA</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28263-2023</t>
        </is>
      </c>
      <c r="B9840" s="1" t="n">
        <v>45099</v>
      </c>
      <c r="C9840" s="1" t="n">
        <v>46011</v>
      </c>
      <c r="D9840" t="inlineStr">
        <is>
          <t>VÄSTRA GÖTALANDS LÄN</t>
        </is>
      </c>
      <c r="E9840" t="inlineStr">
        <is>
          <t>VÄNERSBORG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1554-2023</t>
        </is>
      </c>
      <c r="B9841" s="1" t="n">
        <v>44937</v>
      </c>
      <c r="C9841" s="1" t="n">
        <v>46011</v>
      </c>
      <c r="D9841" t="inlineStr">
        <is>
          <t>VÄSTRA GÖTALANDS LÄN</t>
        </is>
      </c>
      <c r="E9841" t="inlineStr">
        <is>
          <t>TÖREBODA</t>
        </is>
      </c>
      <c r="F9841" t="inlineStr">
        <is>
          <t>Övriga statliga verk och myndigheter</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20089-2025</t>
        </is>
      </c>
      <c r="B9842" s="1" t="n">
        <v>45771</v>
      </c>
      <c r="C9842" s="1" t="n">
        <v>46011</v>
      </c>
      <c r="D9842" t="inlineStr">
        <is>
          <t>VÄSTRA GÖTALANDS LÄN</t>
        </is>
      </c>
      <c r="E9842" t="inlineStr">
        <is>
          <t>ORUST</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60743-2022</t>
        </is>
      </c>
      <c r="B9843" s="1" t="n">
        <v>44914.28622685185</v>
      </c>
      <c r="C9843" s="1" t="n">
        <v>46011</v>
      </c>
      <c r="D9843" t="inlineStr">
        <is>
          <t>VÄSTRA GÖTALANDS LÄN</t>
        </is>
      </c>
      <c r="E9843" t="inlineStr">
        <is>
          <t>HERRLJUNGA</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53647-2025</t>
        </is>
      </c>
      <c r="B9844" s="1" t="n">
        <v>45960.52046296297</v>
      </c>
      <c r="C9844" s="1" t="n">
        <v>46011</v>
      </c>
      <c r="D9844" t="inlineStr">
        <is>
          <t>VÄSTRA GÖTALANDS LÄN</t>
        </is>
      </c>
      <c r="E9844" t="inlineStr">
        <is>
          <t>KARLSBORG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2099-2024</t>
        </is>
      </c>
      <c r="B9845" s="1" t="n">
        <v>45309.45153935185</v>
      </c>
      <c r="C9845" s="1" t="n">
        <v>46011</v>
      </c>
      <c r="D9845" t="inlineStr">
        <is>
          <t>VÄSTRA GÖTALANDS LÄN</t>
        </is>
      </c>
      <c r="E9845" t="inlineStr">
        <is>
          <t>UDDEVALLA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61420-2025</t>
        </is>
      </c>
      <c r="B9846" s="1" t="n">
        <v>46001.54215277778</v>
      </c>
      <c r="C9846" s="1" t="n">
        <v>46011</v>
      </c>
      <c r="D9846" t="inlineStr">
        <is>
          <t>VÄSTRA GÖTALANDS LÄN</t>
        </is>
      </c>
      <c r="E9846" t="inlineStr">
        <is>
          <t>SKÖVDE</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14139-2025</t>
        </is>
      </c>
      <c r="B9847" s="1" t="n">
        <v>45740.47939814815</v>
      </c>
      <c r="C9847" s="1" t="n">
        <v>46011</v>
      </c>
      <c r="D9847" t="inlineStr">
        <is>
          <t>VÄSTRA GÖTALANDS LÄN</t>
        </is>
      </c>
      <c r="E9847" t="inlineStr">
        <is>
          <t>MARK</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4139-2022</t>
        </is>
      </c>
      <c r="B9848" s="1" t="n">
        <v>44588.47560185185</v>
      </c>
      <c r="C9848" s="1" t="n">
        <v>46011</v>
      </c>
      <c r="D9848" t="inlineStr">
        <is>
          <t>VÄSTRA GÖTALANDS LÄN</t>
        </is>
      </c>
      <c r="E9848" t="inlineStr">
        <is>
          <t>MARK</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2982-2021</t>
        </is>
      </c>
      <c r="B9849" s="1" t="n">
        <v>44214</v>
      </c>
      <c r="C9849" s="1" t="n">
        <v>46011</v>
      </c>
      <c r="D9849" t="inlineStr">
        <is>
          <t>VÄSTRA GÖTALANDS LÄN</t>
        </is>
      </c>
      <c r="E9849" t="inlineStr">
        <is>
          <t>TROLLHÄTTAN</t>
        </is>
      </c>
      <c r="F9849" t="inlineStr">
        <is>
          <t>Kyrkan</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43728-2021</t>
        </is>
      </c>
      <c r="B9850" s="1" t="n">
        <v>44433</v>
      </c>
      <c r="C9850" s="1" t="n">
        <v>46011</v>
      </c>
      <c r="D9850" t="inlineStr">
        <is>
          <t>VÄSTRA GÖTALANDS LÄN</t>
        </is>
      </c>
      <c r="E9850" t="inlineStr">
        <is>
          <t>FALKÖPING</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61534-2025</t>
        </is>
      </c>
      <c r="B9851" s="1" t="n">
        <v>46001.7137962963</v>
      </c>
      <c r="C9851" s="1" t="n">
        <v>46011</v>
      </c>
      <c r="D9851" t="inlineStr">
        <is>
          <t>VÄSTRA GÖTALANDS LÄN</t>
        </is>
      </c>
      <c r="E9851" t="inlineStr">
        <is>
          <t>ULRICEHAMN</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51620-2023</t>
        </is>
      </c>
      <c r="B9852" s="1" t="n">
        <v>45222</v>
      </c>
      <c r="C9852" s="1" t="n">
        <v>46011</v>
      </c>
      <c r="D9852" t="inlineStr">
        <is>
          <t>VÄSTRA GÖTALANDS LÄN</t>
        </is>
      </c>
      <c r="E9852" t="inlineStr">
        <is>
          <t>HERRLJUNGA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61744-2025</t>
        </is>
      </c>
      <c r="B9853" s="1" t="n">
        <v>46002.60298611111</v>
      </c>
      <c r="C9853" s="1" t="n">
        <v>46011</v>
      </c>
      <c r="D9853" t="inlineStr">
        <is>
          <t>VÄSTRA GÖTALANDS LÄN</t>
        </is>
      </c>
      <c r="E9853" t="inlineStr">
        <is>
          <t>ALE</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53297-2025</t>
        </is>
      </c>
      <c r="B9854" s="1" t="n">
        <v>45958.90396990741</v>
      </c>
      <c r="C9854" s="1" t="n">
        <v>46011</v>
      </c>
      <c r="D9854" t="inlineStr">
        <is>
          <t>VÄSTRA GÖTALANDS LÄN</t>
        </is>
      </c>
      <c r="E9854" t="inlineStr">
        <is>
          <t>BENGTSFORS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53330-2025</t>
        </is>
      </c>
      <c r="B9855" s="1" t="n">
        <v>45959.36641203704</v>
      </c>
      <c r="C9855" s="1" t="n">
        <v>46011</v>
      </c>
      <c r="D9855" t="inlineStr">
        <is>
          <t>VÄSTRA GÖTALANDS LÄN</t>
        </is>
      </c>
      <c r="E9855" t="inlineStr">
        <is>
          <t>MARK</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51626-2023</t>
        </is>
      </c>
      <c r="B9856" s="1" t="n">
        <v>45215</v>
      </c>
      <c r="C9856" s="1" t="n">
        <v>46011</v>
      </c>
      <c r="D9856" t="inlineStr">
        <is>
          <t>VÄSTRA GÖTALANDS LÄN</t>
        </is>
      </c>
      <c r="E9856" t="inlineStr">
        <is>
          <t>TÖREBODA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49778-2021</t>
        </is>
      </c>
      <c r="B9857" s="1" t="n">
        <v>44453</v>
      </c>
      <c r="C9857" s="1" t="n">
        <v>46011</v>
      </c>
      <c r="D9857" t="inlineStr">
        <is>
          <t>VÄSTRA GÖTALANDS LÄN</t>
        </is>
      </c>
      <c r="E9857" t="inlineStr">
        <is>
          <t>BENGTSFORS</t>
        </is>
      </c>
      <c r="G9857" t="n">
        <v>8</v>
      </c>
      <c r="H9857" t="n">
        <v>0</v>
      </c>
      <c r="I9857" t="n">
        <v>0</v>
      </c>
      <c r="J9857" t="n">
        <v>0</v>
      </c>
      <c r="K9857" t="n">
        <v>0</v>
      </c>
      <c r="L9857" t="n">
        <v>0</v>
      </c>
      <c r="M9857" t="n">
        <v>0</v>
      </c>
      <c r="N9857" t="n">
        <v>0</v>
      </c>
      <c r="O9857" t="n">
        <v>0</v>
      </c>
      <c r="P9857" t="n">
        <v>0</v>
      </c>
      <c r="Q9857" t="n">
        <v>0</v>
      </c>
      <c r="R9857" s="2" t="inlineStr"/>
    </row>
    <row r="9858" ht="15" customHeight="1">
      <c r="A9858" t="inlineStr">
        <is>
          <t>A 54018-2021</t>
        </is>
      </c>
      <c r="B9858" s="1" t="n">
        <v>44468</v>
      </c>
      <c r="C9858" s="1" t="n">
        <v>46011</v>
      </c>
      <c r="D9858" t="inlineStr">
        <is>
          <t>VÄSTRA GÖTALANDS LÄN</t>
        </is>
      </c>
      <c r="E9858" t="inlineStr">
        <is>
          <t>DALS-ED</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16530-2025</t>
        </is>
      </c>
      <c r="B9859" s="1" t="n">
        <v>45751.64501157407</v>
      </c>
      <c r="C9859" s="1" t="n">
        <v>46011</v>
      </c>
      <c r="D9859" t="inlineStr">
        <is>
          <t>VÄSTRA GÖTALANDS LÄN</t>
        </is>
      </c>
      <c r="E9859" t="inlineStr">
        <is>
          <t>TRANEMO</t>
        </is>
      </c>
      <c r="F9859" t="inlineStr">
        <is>
          <t>Sveaskog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54374-2023</t>
        </is>
      </c>
      <c r="B9860" s="1" t="n">
        <v>45233</v>
      </c>
      <c r="C9860" s="1" t="n">
        <v>46011</v>
      </c>
      <c r="D9860" t="inlineStr">
        <is>
          <t>VÄSTRA GÖTALANDS LÄN</t>
        </is>
      </c>
      <c r="E9860" t="inlineStr">
        <is>
          <t>MARK</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1898-2021</t>
        </is>
      </c>
      <c r="B9861" s="1" t="n">
        <v>44210</v>
      </c>
      <c r="C9861" s="1" t="n">
        <v>46011</v>
      </c>
      <c r="D9861" t="inlineStr">
        <is>
          <t>VÄSTRA GÖTALANDS LÄN</t>
        </is>
      </c>
      <c r="E9861" t="inlineStr">
        <is>
          <t>STENUNGSUND</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1903-2021</t>
        </is>
      </c>
      <c r="B9862" s="1" t="n">
        <v>44210</v>
      </c>
      <c r="C9862" s="1" t="n">
        <v>46011</v>
      </c>
      <c r="D9862" t="inlineStr">
        <is>
          <t>VÄSTRA GÖTALANDS LÄN</t>
        </is>
      </c>
      <c r="E9862" t="inlineStr">
        <is>
          <t>SVENLJUNGA</t>
        </is>
      </c>
      <c r="F9862" t="inlineStr">
        <is>
          <t>Kyrkan</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49197-2025</t>
        </is>
      </c>
      <c r="B9863" s="1" t="n">
        <v>45937</v>
      </c>
      <c r="C9863" s="1" t="n">
        <v>46011</v>
      </c>
      <c r="D9863" t="inlineStr">
        <is>
          <t>VÄSTRA GÖTALANDS LÄN</t>
        </is>
      </c>
      <c r="E9863" t="inlineStr">
        <is>
          <t>TÖREBODA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53709-2025</t>
        </is>
      </c>
      <c r="B9864" s="1" t="n">
        <v>45960.61454861111</v>
      </c>
      <c r="C9864" s="1" t="n">
        <v>46011</v>
      </c>
      <c r="D9864" t="inlineStr">
        <is>
          <t>VÄSTRA GÖTALANDS LÄN</t>
        </is>
      </c>
      <c r="E9864" t="inlineStr">
        <is>
          <t>HERRLJUNGA</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60185-2025</t>
        </is>
      </c>
      <c r="B9865" s="1" t="n">
        <v>45994</v>
      </c>
      <c r="C9865" s="1" t="n">
        <v>46011</v>
      </c>
      <c r="D9865" t="inlineStr">
        <is>
          <t>VÄSTRA GÖTALANDS LÄN</t>
        </is>
      </c>
      <c r="E9865" t="inlineStr">
        <is>
          <t>DALS-ED</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16284-2025</t>
        </is>
      </c>
      <c r="B9866" s="1" t="n">
        <v>45751.29762731482</v>
      </c>
      <c r="C9866" s="1" t="n">
        <v>46011</v>
      </c>
      <c r="D9866" t="inlineStr">
        <is>
          <t>VÄSTRA GÖTALANDS LÄN</t>
        </is>
      </c>
      <c r="E9866" t="inlineStr">
        <is>
          <t>VÅRGÅRDA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61741-2025</t>
        </is>
      </c>
      <c r="B9867" s="1" t="n">
        <v>46002.60090277778</v>
      </c>
      <c r="C9867" s="1" t="n">
        <v>46011</v>
      </c>
      <c r="D9867" t="inlineStr">
        <is>
          <t>VÄSTRA GÖTALANDS LÄN</t>
        </is>
      </c>
      <c r="E9867" t="inlineStr">
        <is>
          <t>HÄRRYDA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53480-2025</t>
        </is>
      </c>
      <c r="B9868" s="1" t="n">
        <v>45959.7783912037</v>
      </c>
      <c r="C9868" s="1" t="n">
        <v>46011</v>
      </c>
      <c r="D9868" t="inlineStr">
        <is>
          <t>VÄSTRA GÖTALANDS LÄN</t>
        </is>
      </c>
      <c r="E9868" t="inlineStr">
        <is>
          <t>TRANEMO</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19852-2025</t>
        </is>
      </c>
      <c r="B9869" s="1" t="n">
        <v>45771.49827546296</v>
      </c>
      <c r="C9869" s="1" t="n">
        <v>46011</v>
      </c>
      <c r="D9869" t="inlineStr">
        <is>
          <t>VÄSTRA GÖTALANDS LÄN</t>
        </is>
      </c>
      <c r="E9869" t="inlineStr">
        <is>
          <t>BORÅS</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19858-2025</t>
        </is>
      </c>
      <c r="B9870" s="1" t="n">
        <v>45771.53150462963</v>
      </c>
      <c r="C9870" s="1" t="n">
        <v>46011</v>
      </c>
      <c r="D9870" t="inlineStr">
        <is>
          <t>VÄSTRA GÖTALANDS LÄN</t>
        </is>
      </c>
      <c r="E9870" t="inlineStr">
        <is>
          <t>HERRLJUNGA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59022-2023</t>
        </is>
      </c>
      <c r="B9871" s="1" t="n">
        <v>45252</v>
      </c>
      <c r="C9871" s="1" t="n">
        <v>46011</v>
      </c>
      <c r="D9871" t="inlineStr">
        <is>
          <t>VÄSTRA GÖTALANDS LÄN</t>
        </is>
      </c>
      <c r="E9871" t="inlineStr">
        <is>
          <t>FÄRGELANDA</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59025-2023</t>
        </is>
      </c>
      <c r="B9872" s="1" t="n">
        <v>45252</v>
      </c>
      <c r="C9872" s="1" t="n">
        <v>46011</v>
      </c>
      <c r="D9872" t="inlineStr">
        <is>
          <t>VÄSTRA GÖTALANDS LÄN</t>
        </is>
      </c>
      <c r="E9872" t="inlineStr">
        <is>
          <t>FÄRGELANDA</t>
        </is>
      </c>
      <c r="G9872" t="n">
        <v>44.5</v>
      </c>
      <c r="H9872" t="n">
        <v>0</v>
      </c>
      <c r="I9872" t="n">
        <v>0</v>
      </c>
      <c r="J9872" t="n">
        <v>0</v>
      </c>
      <c r="K9872" t="n">
        <v>0</v>
      </c>
      <c r="L9872" t="n">
        <v>0</v>
      </c>
      <c r="M9872" t="n">
        <v>0</v>
      </c>
      <c r="N9872" t="n">
        <v>0</v>
      </c>
      <c r="O9872" t="n">
        <v>0</v>
      </c>
      <c r="P9872" t="n">
        <v>0</v>
      </c>
      <c r="Q9872" t="n">
        <v>0</v>
      </c>
      <c r="R9872" s="2" t="inlineStr"/>
    </row>
    <row r="9873" ht="15" customHeight="1">
      <c r="A9873" t="inlineStr">
        <is>
          <t>A 53432-2025</t>
        </is>
      </c>
      <c r="B9873" s="1" t="n">
        <v>45959.62899305556</v>
      </c>
      <c r="C9873" s="1" t="n">
        <v>46011</v>
      </c>
      <c r="D9873" t="inlineStr">
        <is>
          <t>VÄSTRA GÖTALANDS LÄN</t>
        </is>
      </c>
      <c r="E9873" t="inlineStr">
        <is>
          <t>ULRICEHAMN</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53433-2025</t>
        </is>
      </c>
      <c r="B9874" s="1" t="n">
        <v>45959.63047453704</v>
      </c>
      <c r="C9874" s="1" t="n">
        <v>46011</v>
      </c>
      <c r="D9874" t="inlineStr">
        <is>
          <t>VÄSTRA GÖTALANDS LÄN</t>
        </is>
      </c>
      <c r="E9874" t="inlineStr">
        <is>
          <t>ULRICEHAMN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30675-2024</t>
        </is>
      </c>
      <c r="B9875" s="1" t="n">
        <v>45495.89418981481</v>
      </c>
      <c r="C9875" s="1" t="n">
        <v>46011</v>
      </c>
      <c r="D9875" t="inlineStr">
        <is>
          <t>VÄSTRA GÖTALANDS LÄN</t>
        </is>
      </c>
      <c r="E9875" t="inlineStr">
        <is>
          <t>TIDAHOLM</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30677-2024</t>
        </is>
      </c>
      <c r="B9876" s="1" t="n">
        <v>45495</v>
      </c>
      <c r="C9876" s="1" t="n">
        <v>46011</v>
      </c>
      <c r="D9876" t="inlineStr">
        <is>
          <t>VÄSTRA GÖTALANDS LÄN</t>
        </is>
      </c>
      <c r="E9876" t="inlineStr">
        <is>
          <t>TIDAHOLM</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43466-2022</t>
        </is>
      </c>
      <c r="B9877" s="1" t="n">
        <v>44836.73601851852</v>
      </c>
      <c r="C9877" s="1" t="n">
        <v>46011</v>
      </c>
      <c r="D9877" t="inlineStr">
        <is>
          <t>VÄSTRA GÖTALANDS LÄN</t>
        </is>
      </c>
      <c r="E9877" t="inlineStr">
        <is>
          <t>MARIESTAD</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60143-2025</t>
        </is>
      </c>
      <c r="B9878" s="1" t="n">
        <v>45994.37936342593</v>
      </c>
      <c r="C9878" s="1" t="n">
        <v>46011</v>
      </c>
      <c r="D9878" t="inlineStr">
        <is>
          <t>VÄSTRA GÖTALANDS LÄN</t>
        </is>
      </c>
      <c r="E9878" t="inlineStr">
        <is>
          <t>UDDEVALLA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53697-2025</t>
        </is>
      </c>
      <c r="B9879" s="1" t="n">
        <v>45960.59121527777</v>
      </c>
      <c r="C9879" s="1" t="n">
        <v>46011</v>
      </c>
      <c r="D9879" t="inlineStr">
        <is>
          <t>VÄSTRA GÖTALANDS LÄN</t>
        </is>
      </c>
      <c r="E9879" t="inlineStr">
        <is>
          <t>FALKÖPING</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211-2021</t>
        </is>
      </c>
      <c r="B9880" s="1" t="n">
        <v>44200</v>
      </c>
      <c r="C9880" s="1" t="n">
        <v>46011</v>
      </c>
      <c r="D9880" t="inlineStr">
        <is>
          <t>VÄSTRA GÖTALANDS LÄN</t>
        </is>
      </c>
      <c r="E9880" t="inlineStr">
        <is>
          <t>ALINGSÅS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53782-2025</t>
        </is>
      </c>
      <c r="B9881" s="1" t="n">
        <v>45960.70804398148</v>
      </c>
      <c r="C9881" s="1" t="n">
        <v>46011</v>
      </c>
      <c r="D9881" t="inlineStr">
        <is>
          <t>VÄSTRA GÖTALANDS LÄN</t>
        </is>
      </c>
      <c r="E9881" t="inlineStr">
        <is>
          <t>BORÅS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8195-2024</t>
        </is>
      </c>
      <c r="B9882" s="1" t="n">
        <v>45351.66591435186</v>
      </c>
      <c r="C9882" s="1" t="n">
        <v>46011</v>
      </c>
      <c r="D9882" t="inlineStr">
        <is>
          <t>VÄSTRA GÖTALANDS LÄN</t>
        </is>
      </c>
      <c r="E9882" t="inlineStr">
        <is>
          <t>VÅRGÅRDA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55765-2023</t>
        </is>
      </c>
      <c r="B9883" s="1" t="n">
        <v>45239.47715277778</v>
      </c>
      <c r="C9883" s="1" t="n">
        <v>46011</v>
      </c>
      <c r="D9883" t="inlineStr">
        <is>
          <t>VÄSTRA GÖTALANDS LÄN</t>
        </is>
      </c>
      <c r="E9883" t="inlineStr">
        <is>
          <t>ULRICEHAMN</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50382-2022</t>
        </is>
      </c>
      <c r="B9884" s="1" t="n">
        <v>44866</v>
      </c>
      <c r="C9884" s="1" t="n">
        <v>46011</v>
      </c>
      <c r="D9884" t="inlineStr">
        <is>
          <t>VÄSTRA GÖTALANDS LÄN</t>
        </is>
      </c>
      <c r="E9884" t="inlineStr">
        <is>
          <t>BORÅS</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61340-2025</t>
        </is>
      </c>
      <c r="B9885" s="1" t="n">
        <v>46001.3484837963</v>
      </c>
      <c r="C9885" s="1" t="n">
        <v>46011</v>
      </c>
      <c r="D9885" t="inlineStr">
        <is>
          <t>VÄSTRA GÖTALANDS LÄN</t>
        </is>
      </c>
      <c r="E9885" t="inlineStr">
        <is>
          <t>SVENLJUNGA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61341-2025</t>
        </is>
      </c>
      <c r="B9886" s="1" t="n">
        <v>46001.34990740741</v>
      </c>
      <c r="C9886" s="1" t="n">
        <v>46011</v>
      </c>
      <c r="D9886" t="inlineStr">
        <is>
          <t>VÄSTRA GÖTALANDS LÄN</t>
        </is>
      </c>
      <c r="E9886" t="inlineStr">
        <is>
          <t>SVENLJUNGA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994-2024</t>
        </is>
      </c>
      <c r="B9887" s="1" t="n">
        <v>45301.62427083333</v>
      </c>
      <c r="C9887" s="1" t="n">
        <v>46011</v>
      </c>
      <c r="D9887" t="inlineStr">
        <is>
          <t>VÄSTRA GÖTALANDS LÄN</t>
        </is>
      </c>
      <c r="E9887" t="inlineStr">
        <is>
          <t>STRÖMSTAD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63162-2023</t>
        </is>
      </c>
      <c r="B9888" s="1" t="n">
        <v>45273</v>
      </c>
      <c r="C9888" s="1" t="n">
        <v>46011</v>
      </c>
      <c r="D9888" t="inlineStr">
        <is>
          <t>VÄSTRA GÖTALANDS LÄN</t>
        </is>
      </c>
      <c r="E9888" t="inlineStr">
        <is>
          <t>DALS-ED</t>
        </is>
      </c>
      <c r="G9888" t="n">
        <v>11.8</v>
      </c>
      <c r="H9888" t="n">
        <v>0</v>
      </c>
      <c r="I9888" t="n">
        <v>0</v>
      </c>
      <c r="J9888" t="n">
        <v>0</v>
      </c>
      <c r="K9888" t="n">
        <v>0</v>
      </c>
      <c r="L9888" t="n">
        <v>0</v>
      </c>
      <c r="M9888" t="n">
        <v>0</v>
      </c>
      <c r="N9888" t="n">
        <v>0</v>
      </c>
      <c r="O9888" t="n">
        <v>0</v>
      </c>
      <c r="P9888" t="n">
        <v>0</v>
      </c>
      <c r="Q9888" t="n">
        <v>0</v>
      </c>
      <c r="R9888" s="2" t="inlineStr"/>
    </row>
    <row r="9889" ht="15" customHeight="1">
      <c r="A9889" t="inlineStr">
        <is>
          <t>A 53481-2025</t>
        </is>
      </c>
      <c r="B9889" s="1" t="n">
        <v>45959.78039351852</v>
      </c>
      <c r="C9889" s="1" t="n">
        <v>46011</v>
      </c>
      <c r="D9889" t="inlineStr">
        <is>
          <t>VÄSTRA GÖTALANDS LÄN</t>
        </is>
      </c>
      <c r="E9889" t="inlineStr">
        <is>
          <t>TRANEMO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53361-2025</t>
        </is>
      </c>
      <c r="B9890" s="1" t="n">
        <v>45959.480625</v>
      </c>
      <c r="C9890" s="1" t="n">
        <v>46011</v>
      </c>
      <c r="D9890" t="inlineStr">
        <is>
          <t>VÄSTRA GÖTALANDS LÄN</t>
        </is>
      </c>
      <c r="E9890" t="inlineStr">
        <is>
          <t>BENGTSFORS</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62329-2025</t>
        </is>
      </c>
      <c r="B9891" s="1" t="n">
        <v>46006.72208333333</v>
      </c>
      <c r="C9891" s="1" t="n">
        <v>46011</v>
      </c>
      <c r="D9891" t="inlineStr">
        <is>
          <t>VÄSTRA GÖTALANDS LÄN</t>
        </is>
      </c>
      <c r="E9891" t="inlineStr">
        <is>
          <t>TIDAHOLM</t>
        </is>
      </c>
      <c r="F9891" t="inlineStr">
        <is>
          <t>Kyrkan</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62332-2025</t>
        </is>
      </c>
      <c r="B9892" s="1" t="n">
        <v>46006.73288194444</v>
      </c>
      <c r="C9892" s="1" t="n">
        <v>46011</v>
      </c>
      <c r="D9892" t="inlineStr">
        <is>
          <t>VÄSTRA GÖTALANDS LÄN</t>
        </is>
      </c>
      <c r="E9892" t="inlineStr">
        <is>
          <t>SVENLJUNGA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6771-2024</t>
        </is>
      </c>
      <c r="B9893" s="1" t="n">
        <v>45342.49605324074</v>
      </c>
      <c r="C9893" s="1" t="n">
        <v>46011</v>
      </c>
      <c r="D9893" t="inlineStr">
        <is>
          <t>VÄSTRA GÖTALANDS LÄN</t>
        </is>
      </c>
      <c r="E9893" t="inlineStr">
        <is>
          <t>SVENLJUNGA</t>
        </is>
      </c>
      <c r="F9893" t="inlineStr">
        <is>
          <t>Sveaskog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61855-2025</t>
        </is>
      </c>
      <c r="B9894" s="1" t="n">
        <v>46003.3855787037</v>
      </c>
      <c r="C9894" s="1" t="n">
        <v>46011</v>
      </c>
      <c r="D9894" t="inlineStr">
        <is>
          <t>VÄSTRA GÖTALANDS LÄN</t>
        </is>
      </c>
      <c r="E9894" t="inlineStr">
        <is>
          <t>MARIESTAD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9863-2024</t>
        </is>
      </c>
      <c r="B9895" s="1" t="n">
        <v>45363</v>
      </c>
      <c r="C9895" s="1" t="n">
        <v>46011</v>
      </c>
      <c r="D9895" t="inlineStr">
        <is>
          <t>VÄSTRA GÖTALANDS LÄN</t>
        </is>
      </c>
      <c r="E9895" t="inlineStr">
        <is>
          <t>VÅRGÅRDA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11945-2024</t>
        </is>
      </c>
      <c r="B9896" s="1" t="n">
        <v>45376.6869212963</v>
      </c>
      <c r="C9896" s="1" t="n">
        <v>46011</v>
      </c>
      <c r="D9896" t="inlineStr">
        <is>
          <t>VÄSTRA GÖTALANDS LÄN</t>
        </is>
      </c>
      <c r="E9896" t="inlineStr">
        <is>
          <t>BENGTSFORS</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11963-2024</t>
        </is>
      </c>
      <c r="B9897" s="1" t="n">
        <v>45376.9174537037</v>
      </c>
      <c r="C9897" s="1" t="n">
        <v>46011</v>
      </c>
      <c r="D9897" t="inlineStr">
        <is>
          <t>VÄSTRA GÖTALANDS LÄN</t>
        </is>
      </c>
      <c r="E9897" t="inlineStr">
        <is>
          <t>SVENLJUNGA</t>
        </is>
      </c>
      <c r="G9897" t="n">
        <v>8.6</v>
      </c>
      <c r="H9897" t="n">
        <v>0</v>
      </c>
      <c r="I9897" t="n">
        <v>0</v>
      </c>
      <c r="J9897" t="n">
        <v>0</v>
      </c>
      <c r="K9897" t="n">
        <v>0</v>
      </c>
      <c r="L9897" t="n">
        <v>0</v>
      </c>
      <c r="M9897" t="n">
        <v>0</v>
      </c>
      <c r="N9897" t="n">
        <v>0</v>
      </c>
      <c r="O9897" t="n">
        <v>0</v>
      </c>
      <c r="P9897" t="n">
        <v>0</v>
      </c>
      <c r="Q9897" t="n">
        <v>0</v>
      </c>
      <c r="R9897" s="2" t="inlineStr"/>
    </row>
    <row r="9898" ht="15" customHeight="1">
      <c r="A9898" t="inlineStr">
        <is>
          <t>A 53988-2025</t>
        </is>
      </c>
      <c r="B9898" s="1" t="n">
        <v>45961.57664351852</v>
      </c>
      <c r="C9898" s="1" t="n">
        <v>46011</v>
      </c>
      <c r="D9898" t="inlineStr">
        <is>
          <t>VÄSTRA GÖTALANDS LÄN</t>
        </is>
      </c>
      <c r="E9898" t="inlineStr">
        <is>
          <t>BORÅS</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44910-2021</t>
        </is>
      </c>
      <c r="B9899" s="1" t="n">
        <v>44438</v>
      </c>
      <c r="C9899" s="1" t="n">
        <v>46011</v>
      </c>
      <c r="D9899" t="inlineStr">
        <is>
          <t>VÄSTRA GÖTALANDS LÄN</t>
        </is>
      </c>
      <c r="E9899" t="inlineStr">
        <is>
          <t>TROLLHÄTTAN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39144-2024</t>
        </is>
      </c>
      <c r="B9900" s="1" t="n">
        <v>45548.6153587963</v>
      </c>
      <c r="C9900" s="1" t="n">
        <v>46011</v>
      </c>
      <c r="D9900" t="inlineStr">
        <is>
          <t>VÄSTRA GÖTALANDS LÄN</t>
        </is>
      </c>
      <c r="E9900" t="inlineStr">
        <is>
          <t>GULLSPÅNG</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33596-2024</t>
        </is>
      </c>
      <c r="B9901" s="1" t="n">
        <v>45520.36324074074</v>
      </c>
      <c r="C9901" s="1" t="n">
        <v>46011</v>
      </c>
      <c r="D9901" t="inlineStr">
        <is>
          <t>VÄSTRA GÖTALANDS LÄN</t>
        </is>
      </c>
      <c r="E9901" t="inlineStr">
        <is>
          <t>DALS-ED</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62212-2025</t>
        </is>
      </c>
      <c r="B9902" s="1" t="n">
        <v>46006.57251157407</v>
      </c>
      <c r="C9902" s="1" t="n">
        <v>46011</v>
      </c>
      <c r="D9902" t="inlineStr">
        <is>
          <t>VÄSTRA GÖTALANDS LÄN</t>
        </is>
      </c>
      <c r="E9902" t="inlineStr">
        <is>
          <t>DALS-ED</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62223-2025</t>
        </is>
      </c>
      <c r="B9903" s="1" t="n">
        <v>46006.58538194445</v>
      </c>
      <c r="C9903" s="1" t="n">
        <v>46011</v>
      </c>
      <c r="D9903" t="inlineStr">
        <is>
          <t>VÄSTRA GÖTALANDS LÄN</t>
        </is>
      </c>
      <c r="E9903" t="inlineStr">
        <is>
          <t>FÄRGELANDA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34415-2024</t>
        </is>
      </c>
      <c r="B9904" s="1" t="n">
        <v>45525.48469907408</v>
      </c>
      <c r="C9904" s="1" t="n">
        <v>46011</v>
      </c>
      <c r="D9904" t="inlineStr">
        <is>
          <t>VÄSTRA GÖTALANDS LÄN</t>
        </is>
      </c>
      <c r="E9904" t="inlineStr">
        <is>
          <t>MELLERUD</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54289-2022</t>
        </is>
      </c>
      <c r="B9905" s="1" t="n">
        <v>44882</v>
      </c>
      <c r="C9905" s="1" t="n">
        <v>46011</v>
      </c>
      <c r="D9905" t="inlineStr">
        <is>
          <t>VÄSTRA GÖTALANDS LÄN</t>
        </is>
      </c>
      <c r="E9905" t="inlineStr">
        <is>
          <t>BOLLEBYGD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10141-2025</t>
        </is>
      </c>
      <c r="B9906" s="1" t="n">
        <v>45719.63101851852</v>
      </c>
      <c r="C9906" s="1" t="n">
        <v>46011</v>
      </c>
      <c r="D9906" t="inlineStr">
        <is>
          <t>VÄSTRA GÖTALANDS LÄN</t>
        </is>
      </c>
      <c r="E9906" t="inlineStr">
        <is>
          <t>TANUM</t>
        </is>
      </c>
      <c r="G9906" t="n">
        <v>14.8</v>
      </c>
      <c r="H9906" t="n">
        <v>0</v>
      </c>
      <c r="I9906" t="n">
        <v>0</v>
      </c>
      <c r="J9906" t="n">
        <v>0</v>
      </c>
      <c r="K9906" t="n">
        <v>0</v>
      </c>
      <c r="L9906" t="n">
        <v>0</v>
      </c>
      <c r="M9906" t="n">
        <v>0</v>
      </c>
      <c r="N9906" t="n">
        <v>0</v>
      </c>
      <c r="O9906" t="n">
        <v>0</v>
      </c>
      <c r="P9906" t="n">
        <v>0</v>
      </c>
      <c r="Q9906" t="n">
        <v>0</v>
      </c>
      <c r="R9906" s="2" t="inlineStr"/>
    </row>
    <row r="9907" ht="15" customHeight="1">
      <c r="A9907" t="inlineStr">
        <is>
          <t>A 62331-2025</t>
        </is>
      </c>
      <c r="B9907" s="1" t="n">
        <v>46006.73152777777</v>
      </c>
      <c r="C9907" s="1" t="n">
        <v>46011</v>
      </c>
      <c r="D9907" t="inlineStr">
        <is>
          <t>VÄSTRA GÖTALANDS LÄN</t>
        </is>
      </c>
      <c r="E9907" t="inlineStr">
        <is>
          <t>SVENLJUNGA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62333-2025</t>
        </is>
      </c>
      <c r="B9908" s="1" t="n">
        <v>46006.73450231482</v>
      </c>
      <c r="C9908" s="1" t="n">
        <v>46011</v>
      </c>
      <c r="D9908" t="inlineStr">
        <is>
          <t>VÄSTRA GÖTALANDS LÄN</t>
        </is>
      </c>
      <c r="E9908" t="inlineStr">
        <is>
          <t>SVENLJUNGA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9341-2025</t>
        </is>
      </c>
      <c r="B9909" s="1" t="n">
        <v>45714.83510416667</v>
      </c>
      <c r="C9909" s="1" t="n">
        <v>46011</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11770-2025</t>
        </is>
      </c>
      <c r="B9910" s="1" t="n">
        <v>45727.68160879629</v>
      </c>
      <c r="C9910" s="1" t="n">
        <v>46011</v>
      </c>
      <c r="D9910" t="inlineStr">
        <is>
          <t>VÄSTRA GÖTALANDS LÄN</t>
        </is>
      </c>
      <c r="E9910" t="inlineStr">
        <is>
          <t>BORÅS</t>
        </is>
      </c>
      <c r="F9910" t="inlineStr">
        <is>
          <t>Kyrkan</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52151-2022</t>
        </is>
      </c>
      <c r="B9911" s="1" t="n">
        <v>44873</v>
      </c>
      <c r="C9911" s="1" t="n">
        <v>46011</v>
      </c>
      <c r="D9911" t="inlineStr">
        <is>
          <t>VÄSTRA GÖTALANDS LÄN</t>
        </is>
      </c>
      <c r="E9911" t="inlineStr">
        <is>
          <t>FÄRGELANDA</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11509-2025</t>
        </is>
      </c>
      <c r="B9912" s="1" t="n">
        <v>45726.8350462963</v>
      </c>
      <c r="C9912" s="1" t="n">
        <v>46011</v>
      </c>
      <c r="D9912" t="inlineStr">
        <is>
          <t>VÄSTRA GÖTALANDS LÄN</t>
        </is>
      </c>
      <c r="E9912" t="inlineStr">
        <is>
          <t>ULRICEHAMN</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13985-2025</t>
        </is>
      </c>
      <c r="B9913" s="1" t="n">
        <v>45739.37190972222</v>
      </c>
      <c r="C9913" s="1" t="n">
        <v>46011</v>
      </c>
      <c r="D9913" t="inlineStr">
        <is>
          <t>VÄSTRA GÖTALANDS LÄN</t>
        </is>
      </c>
      <c r="E9913" t="inlineStr">
        <is>
          <t>SVENLJUNGA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30444-2024</t>
        </is>
      </c>
      <c r="B9914" s="1" t="n">
        <v>45491.88498842593</v>
      </c>
      <c r="C9914" s="1" t="n">
        <v>46011</v>
      </c>
      <c r="D9914" t="inlineStr">
        <is>
          <t>VÄSTRA GÖTALANDS LÄN</t>
        </is>
      </c>
      <c r="E9914" t="inlineStr">
        <is>
          <t>SVENLJUNGA</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9631-2024</t>
        </is>
      </c>
      <c r="B9915" s="1" t="n">
        <v>45362.30850694444</v>
      </c>
      <c r="C9915" s="1" t="n">
        <v>46011</v>
      </c>
      <c r="D9915" t="inlineStr">
        <is>
          <t>VÄSTRA GÖTALANDS LÄN</t>
        </is>
      </c>
      <c r="E9915" t="inlineStr">
        <is>
          <t>TIDAHOLM</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53825-2025</t>
        </is>
      </c>
      <c r="B9916" s="1" t="n">
        <v>45961.34212962963</v>
      </c>
      <c r="C9916" s="1" t="n">
        <v>46011</v>
      </c>
      <c r="D9916" t="inlineStr">
        <is>
          <t>VÄSTRA GÖTALANDS LÄN</t>
        </is>
      </c>
      <c r="E9916" t="inlineStr">
        <is>
          <t>ULRICEHAMN</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17584-2025</t>
        </is>
      </c>
      <c r="B9917" s="1" t="n">
        <v>45757.6719212963</v>
      </c>
      <c r="C9917" s="1" t="n">
        <v>46011</v>
      </c>
      <c r="D9917" t="inlineStr">
        <is>
          <t>VÄSTRA GÖTALANDS LÄN</t>
        </is>
      </c>
      <c r="E9917" t="inlineStr">
        <is>
          <t>ULRICEHAMN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37774-2024</t>
        </is>
      </c>
      <c r="B9918" s="1" t="n">
        <v>45542.42212962963</v>
      </c>
      <c r="C9918" s="1" t="n">
        <v>46011</v>
      </c>
      <c r="D9918" t="inlineStr">
        <is>
          <t>VÄSTRA GÖTALANDS LÄN</t>
        </is>
      </c>
      <c r="E9918" t="inlineStr">
        <is>
          <t>ESSUNGA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689-2023</t>
        </is>
      </c>
      <c r="B9919" s="1" t="n">
        <v>44930</v>
      </c>
      <c r="C9919" s="1" t="n">
        <v>46011</v>
      </c>
      <c r="D9919" t="inlineStr">
        <is>
          <t>VÄSTRA GÖTALANDS LÄN</t>
        </is>
      </c>
      <c r="E9919" t="inlineStr">
        <is>
          <t>TIDAHOLM</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52027-2023</t>
        </is>
      </c>
      <c r="B9920" s="1" t="n">
        <v>45223.62131944444</v>
      </c>
      <c r="C9920" s="1" t="n">
        <v>46011</v>
      </c>
      <c r="D9920" t="inlineStr">
        <is>
          <t>VÄSTRA GÖTALANDS LÄN</t>
        </is>
      </c>
      <c r="E9920" t="inlineStr">
        <is>
          <t>SVENLJUNGA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61948-2025</t>
        </is>
      </c>
      <c r="B9921" s="1" t="n">
        <v>46003.5702662037</v>
      </c>
      <c r="C9921" s="1" t="n">
        <v>46011</v>
      </c>
      <c r="D9921" t="inlineStr">
        <is>
          <t>VÄSTRA GÖTALANDS LÄN</t>
        </is>
      </c>
      <c r="E9921" t="inlineStr">
        <is>
          <t>DALS-ED</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59563-2025</t>
        </is>
      </c>
      <c r="B9922" s="1" t="n">
        <v>45991.7721875</v>
      </c>
      <c r="C9922" s="1" t="n">
        <v>46011</v>
      </c>
      <c r="D9922" t="inlineStr">
        <is>
          <t>VÄSTRA GÖTALANDS LÄN</t>
        </is>
      </c>
      <c r="E9922" t="inlineStr">
        <is>
          <t>ULRICEHAMN</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61818-2025</t>
        </is>
      </c>
      <c r="B9923" s="1" t="n">
        <v>46003.32189814815</v>
      </c>
      <c r="C9923" s="1" t="n">
        <v>46011</v>
      </c>
      <c r="D9923" t="inlineStr">
        <is>
          <t>VÄSTRA GÖTALANDS LÄN</t>
        </is>
      </c>
      <c r="E9923" t="inlineStr">
        <is>
          <t>GULLSPÅNG</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58393-2022</t>
        </is>
      </c>
      <c r="B9924" s="1" t="n">
        <v>44901</v>
      </c>
      <c r="C9924" s="1" t="n">
        <v>46011</v>
      </c>
      <c r="D9924" t="inlineStr">
        <is>
          <t>VÄSTRA GÖTALANDS LÄN</t>
        </is>
      </c>
      <c r="E9924" t="inlineStr">
        <is>
          <t>LIDKÖPING</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58793-2022</t>
        </is>
      </c>
      <c r="B9925" s="1" t="n">
        <v>44903.42074074074</v>
      </c>
      <c r="C9925" s="1" t="n">
        <v>46011</v>
      </c>
      <c r="D9925" t="inlineStr">
        <is>
          <t>VÄSTRA GÖTALANDS LÄN</t>
        </is>
      </c>
      <c r="E9925" t="inlineStr">
        <is>
          <t>LYSEKIL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55995-2022</t>
        </is>
      </c>
      <c r="B9926" s="1" t="n">
        <v>44887</v>
      </c>
      <c r="C9926" s="1" t="n">
        <v>46011</v>
      </c>
      <c r="D9926" t="inlineStr">
        <is>
          <t>VÄSTRA GÖTALANDS LÄN</t>
        </is>
      </c>
      <c r="E9926" t="inlineStr">
        <is>
          <t>TANUM</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14225-2022</t>
        </is>
      </c>
      <c r="B9927" s="1" t="n">
        <v>44651.6403587963</v>
      </c>
      <c r="C9927" s="1" t="n">
        <v>46011</v>
      </c>
      <c r="D9927" t="inlineStr">
        <is>
          <t>VÄSTRA GÖTALANDS LÄN</t>
        </is>
      </c>
      <c r="E9927" t="inlineStr">
        <is>
          <t>ÅMÅL</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54055-2025</t>
        </is>
      </c>
      <c r="B9928" s="1" t="n">
        <v>45964</v>
      </c>
      <c r="C9928" s="1" t="n">
        <v>46011</v>
      </c>
      <c r="D9928" t="inlineStr">
        <is>
          <t>VÄSTRA GÖTALANDS LÄN</t>
        </is>
      </c>
      <c r="E9928" t="inlineStr">
        <is>
          <t>SVENLJUNGA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51041-2023</t>
        </is>
      </c>
      <c r="B9929" s="1" t="n">
        <v>45218</v>
      </c>
      <c r="C9929" s="1" t="n">
        <v>46011</v>
      </c>
      <c r="D9929" t="inlineStr">
        <is>
          <t>VÄSTRA GÖTALANDS LÄN</t>
        </is>
      </c>
      <c r="E9929" t="inlineStr">
        <is>
          <t>MARK</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54082-2025</t>
        </is>
      </c>
      <c r="B9930" s="1" t="n">
        <v>45964.38070601852</v>
      </c>
      <c r="C9930" s="1" t="n">
        <v>46011</v>
      </c>
      <c r="D9930" t="inlineStr">
        <is>
          <t>VÄSTRA GÖTALANDS LÄN</t>
        </is>
      </c>
      <c r="E9930" t="inlineStr">
        <is>
          <t>ALINGSÅS</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17335-2025</t>
        </is>
      </c>
      <c r="B9931" s="1" t="n">
        <v>45756</v>
      </c>
      <c r="C9931" s="1" t="n">
        <v>46011</v>
      </c>
      <c r="D9931" t="inlineStr">
        <is>
          <t>VÄSTRA GÖTALANDS LÄN</t>
        </is>
      </c>
      <c r="E9931" t="inlineStr">
        <is>
          <t>TIBRO</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29691-2023</t>
        </is>
      </c>
      <c r="B9932" s="1" t="n">
        <v>45107</v>
      </c>
      <c r="C9932" s="1" t="n">
        <v>46011</v>
      </c>
      <c r="D9932" t="inlineStr">
        <is>
          <t>VÄSTRA GÖTALANDS LÄN</t>
        </is>
      </c>
      <c r="E9932" t="inlineStr">
        <is>
          <t>UDDEVALLA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2784-2023</t>
        </is>
      </c>
      <c r="B9933" s="1" t="n">
        <v>44944.66162037037</v>
      </c>
      <c r="C9933" s="1" t="n">
        <v>46011</v>
      </c>
      <c r="D9933" t="inlineStr">
        <is>
          <t>VÄSTRA GÖTALANDS LÄN</t>
        </is>
      </c>
      <c r="E9933" t="inlineStr">
        <is>
          <t>KARLSBORG</t>
        </is>
      </c>
      <c r="F9933" t="inlineStr">
        <is>
          <t>Övriga Aktiebolag</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6496-2021</t>
        </is>
      </c>
      <c r="B9934" s="1" t="n">
        <v>44235</v>
      </c>
      <c r="C9934" s="1" t="n">
        <v>46011</v>
      </c>
      <c r="D9934" t="inlineStr">
        <is>
          <t>VÄSTRA GÖTALANDS LÄN</t>
        </is>
      </c>
      <c r="E9934" t="inlineStr">
        <is>
          <t>SKÖVDE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61994-2025</t>
        </is>
      </c>
      <c r="B9935" s="1" t="n">
        <v>46003.63511574074</v>
      </c>
      <c r="C9935" s="1" t="n">
        <v>46011</v>
      </c>
      <c r="D9935" t="inlineStr">
        <is>
          <t>VÄSTRA GÖTALANDS LÄN</t>
        </is>
      </c>
      <c r="E9935" t="inlineStr">
        <is>
          <t>FALKÖPING</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60558-2023</t>
        </is>
      </c>
      <c r="B9936" s="1" t="n">
        <v>45259.86798611111</v>
      </c>
      <c r="C9936" s="1" t="n">
        <v>46011</v>
      </c>
      <c r="D9936" t="inlineStr">
        <is>
          <t>VÄSTRA GÖTALANDS LÄN</t>
        </is>
      </c>
      <c r="E9936" t="inlineStr">
        <is>
          <t>SKÖVDE</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55880-2021</t>
        </is>
      </c>
      <c r="B9937" s="1" t="n">
        <v>44476</v>
      </c>
      <c r="C9937" s="1" t="n">
        <v>46011</v>
      </c>
      <c r="D9937" t="inlineStr">
        <is>
          <t>VÄSTRA GÖTALANDS LÄN</t>
        </is>
      </c>
      <c r="E9937" t="inlineStr">
        <is>
          <t>BENGTSFORS</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36556-2022</t>
        </is>
      </c>
      <c r="B9938" s="1" t="n">
        <v>44804</v>
      </c>
      <c r="C9938" s="1" t="n">
        <v>46011</v>
      </c>
      <c r="D9938" t="inlineStr">
        <is>
          <t>VÄSTRA GÖTALANDS LÄN</t>
        </is>
      </c>
      <c r="E9938" t="inlineStr">
        <is>
          <t>SKÖVDE</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62088-2025</t>
        </is>
      </c>
      <c r="B9939" s="1" t="n">
        <v>46006.37658564815</v>
      </c>
      <c r="C9939" s="1" t="n">
        <v>46011</v>
      </c>
      <c r="D9939" t="inlineStr">
        <is>
          <t>VÄSTRA GÖTALANDS LÄN</t>
        </is>
      </c>
      <c r="E9939" t="inlineStr">
        <is>
          <t>MARK</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62296-2025</t>
        </is>
      </c>
      <c r="B9940" s="1" t="n">
        <v>46006.64335648148</v>
      </c>
      <c r="C9940" s="1" t="n">
        <v>46011</v>
      </c>
      <c r="D9940" t="inlineStr">
        <is>
          <t>VÄSTRA GÖTALANDS LÄN</t>
        </is>
      </c>
      <c r="E9940" t="inlineStr">
        <is>
          <t>GÖTENE</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14116-2025</t>
        </is>
      </c>
      <c r="B9941" s="1" t="n">
        <v>45740</v>
      </c>
      <c r="C9941" s="1" t="n">
        <v>46011</v>
      </c>
      <c r="D9941" t="inlineStr">
        <is>
          <t>VÄSTRA GÖTALANDS LÄN</t>
        </is>
      </c>
      <c r="E9941" t="inlineStr">
        <is>
          <t>VARA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27465-2023</t>
        </is>
      </c>
      <c r="B9942" s="1" t="n">
        <v>45097</v>
      </c>
      <c r="C9942" s="1" t="n">
        <v>46011</v>
      </c>
      <c r="D9942" t="inlineStr">
        <is>
          <t>VÄSTRA GÖTALANDS LÄN</t>
        </is>
      </c>
      <c r="E9942" t="inlineStr">
        <is>
          <t>BORÅS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20353-2023</t>
        </is>
      </c>
      <c r="B9943" s="1" t="n">
        <v>45056</v>
      </c>
      <c r="C9943" s="1" t="n">
        <v>46011</v>
      </c>
      <c r="D9943" t="inlineStr">
        <is>
          <t>VÄSTRA GÖTALANDS LÄN</t>
        </is>
      </c>
      <c r="E9943" t="inlineStr">
        <is>
          <t>MARK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61929-2025</t>
        </is>
      </c>
      <c r="B9944" s="1" t="n">
        <v>46003.52628472223</v>
      </c>
      <c r="C9944" s="1" t="n">
        <v>46011</v>
      </c>
      <c r="D9944" t="inlineStr">
        <is>
          <t>VÄSTRA GÖTALANDS LÄN</t>
        </is>
      </c>
      <c r="E9944" t="inlineStr">
        <is>
          <t>TRANEMO</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61974-2025</t>
        </is>
      </c>
      <c r="B9945" s="1" t="n">
        <v>46003.60458333333</v>
      </c>
      <c r="C9945" s="1" t="n">
        <v>46011</v>
      </c>
      <c r="D9945" t="inlineStr">
        <is>
          <t>VÄSTRA GÖTALANDS LÄN</t>
        </is>
      </c>
      <c r="E9945" t="inlineStr">
        <is>
          <t>BENGTSFORS</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33918-2024</t>
        </is>
      </c>
      <c r="B9946" s="1" t="n">
        <v>45522</v>
      </c>
      <c r="C9946" s="1" t="n">
        <v>46011</v>
      </c>
      <c r="D9946" t="inlineStr">
        <is>
          <t>VÄSTRA GÖTALANDS LÄN</t>
        </is>
      </c>
      <c r="E9946" t="inlineStr">
        <is>
          <t>MUNKEDAL</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42003-2024</t>
        </is>
      </c>
      <c r="B9947" s="1" t="n">
        <v>45561.6612037037</v>
      </c>
      <c r="C9947" s="1" t="n">
        <v>46011</v>
      </c>
      <c r="D9947" t="inlineStr">
        <is>
          <t>VÄSTRA GÖTALANDS LÄN</t>
        </is>
      </c>
      <c r="E9947" t="inlineStr">
        <is>
          <t>MARK</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27823-2023</t>
        </is>
      </c>
      <c r="B9948" s="1" t="n">
        <v>45098.5205787037</v>
      </c>
      <c r="C9948" s="1" t="n">
        <v>46011</v>
      </c>
      <c r="D9948" t="inlineStr">
        <is>
          <t>VÄSTRA GÖTALANDS LÄN</t>
        </is>
      </c>
      <c r="E9948" t="inlineStr">
        <is>
          <t>KARLSBORG</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60351-2023</t>
        </is>
      </c>
      <c r="B9949" s="1" t="n">
        <v>45259.35402777778</v>
      </c>
      <c r="C9949" s="1" t="n">
        <v>46011</v>
      </c>
      <c r="D9949" t="inlineStr">
        <is>
          <t>VÄSTRA GÖTALANDS LÄN</t>
        </is>
      </c>
      <c r="E9949" t="inlineStr">
        <is>
          <t>TANUM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13664-2021</t>
        </is>
      </c>
      <c r="B9950" s="1" t="n">
        <v>44274</v>
      </c>
      <c r="C9950" s="1" t="n">
        <v>46011</v>
      </c>
      <c r="D9950" t="inlineStr">
        <is>
          <t>VÄSTRA GÖTALANDS LÄN</t>
        </is>
      </c>
      <c r="E9950" t="inlineStr">
        <is>
          <t>BENGTSFORS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40050-2023</t>
        </is>
      </c>
      <c r="B9951" s="1" t="n">
        <v>45168.7025462963</v>
      </c>
      <c r="C9951" s="1" t="n">
        <v>46011</v>
      </c>
      <c r="D9951" t="inlineStr">
        <is>
          <t>VÄSTRA GÖTALANDS LÄN</t>
        </is>
      </c>
      <c r="E9951" t="inlineStr">
        <is>
          <t>TANUM</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40129-2023</t>
        </is>
      </c>
      <c r="B9952" s="1" t="n">
        <v>45169</v>
      </c>
      <c r="C9952" s="1" t="n">
        <v>46011</v>
      </c>
      <c r="D9952" t="inlineStr">
        <is>
          <t>VÄSTRA GÖTALANDS LÄN</t>
        </is>
      </c>
      <c r="E9952" t="inlineStr">
        <is>
          <t>KARLSBORG</t>
        </is>
      </c>
      <c r="F9952" t="inlineStr">
        <is>
          <t>Övriga Aktiebolag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59615-2025</t>
        </is>
      </c>
      <c r="B9953" s="1" t="n">
        <v>45992.37409722222</v>
      </c>
      <c r="C9953" s="1" t="n">
        <v>46011</v>
      </c>
      <c r="D9953" t="inlineStr">
        <is>
          <t>VÄSTRA GÖTALANDS LÄN</t>
        </is>
      </c>
      <c r="E9953" t="inlineStr">
        <is>
          <t>ULRICEHAMN</t>
        </is>
      </c>
      <c r="F9953" t="inlineStr">
        <is>
          <t>Sveaskog</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3655-2022</t>
        </is>
      </c>
      <c r="B9954" s="1" t="n">
        <v>44586.47695601852</v>
      </c>
      <c r="C9954" s="1" t="n">
        <v>46011</v>
      </c>
      <c r="D9954" t="inlineStr">
        <is>
          <t>VÄSTRA GÖTALANDS LÄN</t>
        </is>
      </c>
      <c r="E9954" t="inlineStr">
        <is>
          <t>TRANEMO</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54199-2025</t>
        </is>
      </c>
      <c r="B9955" s="1" t="n">
        <v>45964.57518518518</v>
      </c>
      <c r="C9955" s="1" t="n">
        <v>46011</v>
      </c>
      <c r="D9955" t="inlineStr">
        <is>
          <t>VÄSTRA GÖTALANDS LÄN</t>
        </is>
      </c>
      <c r="E9955" t="inlineStr">
        <is>
          <t>SVENLJUNGA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54200-2025</t>
        </is>
      </c>
      <c r="B9956" s="1" t="n">
        <v>45964.5790162037</v>
      </c>
      <c r="C9956" s="1" t="n">
        <v>46011</v>
      </c>
      <c r="D9956" t="inlineStr">
        <is>
          <t>VÄSTRA GÖTALANDS LÄN</t>
        </is>
      </c>
      <c r="E9956" t="inlineStr">
        <is>
          <t>SVENLJUNGA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19423-2025</t>
        </is>
      </c>
      <c r="B9957" s="1" t="n">
        <v>45769.76158564815</v>
      </c>
      <c r="C9957" s="1" t="n">
        <v>46011</v>
      </c>
      <c r="D9957" t="inlineStr">
        <is>
          <t>VÄSTRA GÖTALANDS LÄN</t>
        </is>
      </c>
      <c r="E9957" t="inlineStr">
        <is>
          <t>STENUNGSUND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19424-2025</t>
        </is>
      </c>
      <c r="B9958" s="1" t="n">
        <v>45769.7637962963</v>
      </c>
      <c r="C9958" s="1" t="n">
        <v>46011</v>
      </c>
      <c r="D9958" t="inlineStr">
        <is>
          <t>VÄSTRA GÖTALANDS LÄN</t>
        </is>
      </c>
      <c r="E9958" t="inlineStr">
        <is>
          <t>STENUNGSUND</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54244-2025</t>
        </is>
      </c>
      <c r="B9959" s="1" t="n">
        <v>45964.63546296296</v>
      </c>
      <c r="C9959" s="1" t="n">
        <v>46011</v>
      </c>
      <c r="D9959" t="inlineStr">
        <is>
          <t>VÄSTRA GÖTALANDS LÄN</t>
        </is>
      </c>
      <c r="E9959" t="inlineStr">
        <is>
          <t>VÄNERSBORG</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54260-2025</t>
        </is>
      </c>
      <c r="B9960" s="1" t="n">
        <v>45964.6600462963</v>
      </c>
      <c r="C9960" s="1" t="n">
        <v>46011</v>
      </c>
      <c r="D9960" t="inlineStr">
        <is>
          <t>VÄSTRA GÖTALANDS LÄN</t>
        </is>
      </c>
      <c r="E9960" t="inlineStr">
        <is>
          <t>FÄRGELANDA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53791-2023</t>
        </is>
      </c>
      <c r="B9961" s="1" t="n">
        <v>45231</v>
      </c>
      <c r="C9961" s="1" t="n">
        <v>46011</v>
      </c>
      <c r="D9961" t="inlineStr">
        <is>
          <t>VÄSTRA GÖTALANDS LÄN</t>
        </is>
      </c>
      <c r="E9961" t="inlineStr">
        <is>
          <t>TÖREBODA</t>
        </is>
      </c>
      <c r="F9961" t="inlineStr">
        <is>
          <t>Sveaskog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3187-2024</t>
        </is>
      </c>
      <c r="B9962" s="1" t="n">
        <v>45316.65596064815</v>
      </c>
      <c r="C9962" s="1" t="n">
        <v>46011</v>
      </c>
      <c r="D9962" t="inlineStr">
        <is>
          <t>VÄSTRA GÖTALANDS LÄN</t>
        </is>
      </c>
      <c r="E9962" t="inlineStr">
        <is>
          <t>STRÖMSTAD</t>
        </is>
      </c>
      <c r="F9962" t="inlineStr">
        <is>
          <t>Kommuner</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61840-2025</t>
        </is>
      </c>
      <c r="B9963" s="1" t="n">
        <v>46003</v>
      </c>
      <c r="C9963" s="1" t="n">
        <v>46011</v>
      </c>
      <c r="D9963" t="inlineStr">
        <is>
          <t>VÄSTRA GÖTALANDS LÄN</t>
        </is>
      </c>
      <c r="E9963" t="inlineStr">
        <is>
          <t>DALS-ED</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3225-2024</t>
        </is>
      </c>
      <c r="B9964" s="1" t="n">
        <v>45316.87039351852</v>
      </c>
      <c r="C9964" s="1" t="n">
        <v>46011</v>
      </c>
      <c r="D9964" t="inlineStr">
        <is>
          <t>VÄSTRA GÖTALANDS LÄN</t>
        </is>
      </c>
      <c r="E9964" t="inlineStr">
        <is>
          <t>ULRICEHAMN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61898-2025</t>
        </is>
      </c>
      <c r="B9965" s="1" t="n">
        <v>46003.46565972222</v>
      </c>
      <c r="C9965" s="1" t="n">
        <v>46011</v>
      </c>
      <c r="D9965" t="inlineStr">
        <is>
          <t>VÄSTRA GÖTALANDS LÄN</t>
        </is>
      </c>
      <c r="E9965" t="inlineStr">
        <is>
          <t>STRÖMSTAD</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26886-2023</t>
        </is>
      </c>
      <c r="B9966" s="1" t="n">
        <v>45093</v>
      </c>
      <c r="C9966" s="1" t="n">
        <v>46011</v>
      </c>
      <c r="D9966" t="inlineStr">
        <is>
          <t>VÄSTRA GÖTALANDS LÄN</t>
        </is>
      </c>
      <c r="E9966" t="inlineStr">
        <is>
          <t>LILLA EDET</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54116-2025</t>
        </is>
      </c>
      <c r="B9967" s="1" t="n">
        <v>45964.4425462963</v>
      </c>
      <c r="C9967" s="1" t="n">
        <v>46011</v>
      </c>
      <c r="D9967" t="inlineStr">
        <is>
          <t>VÄSTRA GÖTALANDS LÄN</t>
        </is>
      </c>
      <c r="E9967" t="inlineStr">
        <is>
          <t>BORÅS</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54132-2025</t>
        </is>
      </c>
      <c r="B9968" s="1" t="n">
        <v>45964</v>
      </c>
      <c r="C9968" s="1" t="n">
        <v>46011</v>
      </c>
      <c r="D9968" t="inlineStr">
        <is>
          <t>VÄSTRA GÖTALANDS LÄN</t>
        </is>
      </c>
      <c r="E9968" t="inlineStr">
        <is>
          <t>BENGTSFORS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16433-2025</t>
        </is>
      </c>
      <c r="B9969" s="1" t="n">
        <v>45751.48168981481</v>
      </c>
      <c r="C9969" s="1" t="n">
        <v>46011</v>
      </c>
      <c r="D9969" t="inlineStr">
        <is>
          <t>VÄSTRA GÖTALANDS LÄN</t>
        </is>
      </c>
      <c r="E9969" t="inlineStr">
        <is>
          <t>ULRICEHAMN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28671-2023</t>
        </is>
      </c>
      <c r="B9970" s="1" t="n">
        <v>45103.66701388889</v>
      </c>
      <c r="C9970" s="1" t="n">
        <v>46011</v>
      </c>
      <c r="D9970" t="inlineStr">
        <is>
          <t>VÄSTRA GÖTALANDS LÄN</t>
        </is>
      </c>
      <c r="E9970" t="inlineStr">
        <is>
          <t>TIDAHOLM</t>
        </is>
      </c>
      <c r="F9970" t="inlineStr">
        <is>
          <t>Kyrkan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54186-2025</t>
        </is>
      </c>
      <c r="B9971" s="1" t="n">
        <v>45964.56824074074</v>
      </c>
      <c r="C9971" s="1" t="n">
        <v>46011</v>
      </c>
      <c r="D9971" t="inlineStr">
        <is>
          <t>VÄSTRA GÖTALANDS LÄN</t>
        </is>
      </c>
      <c r="E9971" t="inlineStr">
        <is>
          <t>HERRLJUNGA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54190-2025</t>
        </is>
      </c>
      <c r="B9972" s="1" t="n">
        <v>45964.57034722222</v>
      </c>
      <c r="C9972" s="1" t="n">
        <v>46011</v>
      </c>
      <c r="D9972" t="inlineStr">
        <is>
          <t>VÄSTRA GÖTALANDS LÄN</t>
        </is>
      </c>
      <c r="E9972" t="inlineStr">
        <is>
          <t>LIDKÖPING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37429-2023</t>
        </is>
      </c>
      <c r="B9973" s="1" t="n">
        <v>45156.63964120371</v>
      </c>
      <c r="C9973" s="1" t="n">
        <v>46011</v>
      </c>
      <c r="D9973" t="inlineStr">
        <is>
          <t>VÄSTRA GÖTALANDS LÄN</t>
        </is>
      </c>
      <c r="E9973" t="inlineStr">
        <is>
          <t>ALINGSÅS</t>
        </is>
      </c>
      <c r="F9973" t="inlineStr">
        <is>
          <t>Kyrkan</t>
        </is>
      </c>
      <c r="G9973" t="n">
        <v>9.199999999999999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37455-2023</t>
        </is>
      </c>
      <c r="B9974" s="1" t="n">
        <v>45156.7150462963</v>
      </c>
      <c r="C9974" s="1" t="n">
        <v>46011</v>
      </c>
      <c r="D9974" t="inlineStr">
        <is>
          <t>VÄSTRA GÖTALANDS LÄN</t>
        </is>
      </c>
      <c r="E9974" t="inlineStr">
        <is>
          <t>MARK</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53942-2025</t>
        </is>
      </c>
      <c r="B9975" s="1" t="n">
        <v>45961.48994212963</v>
      </c>
      <c r="C9975" s="1" t="n">
        <v>46011</v>
      </c>
      <c r="D9975" t="inlineStr">
        <is>
          <t>VÄSTRA GÖTALANDS LÄN</t>
        </is>
      </c>
      <c r="E9975" t="inlineStr">
        <is>
          <t>BORÅS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61997-2025</t>
        </is>
      </c>
      <c r="B9976" s="1" t="n">
        <v>46003.64498842593</v>
      </c>
      <c r="C9976" s="1" t="n">
        <v>46011</v>
      </c>
      <c r="D9976" t="inlineStr">
        <is>
          <t>VÄSTRA GÖTALANDS LÄN</t>
        </is>
      </c>
      <c r="E9976" t="inlineStr">
        <is>
          <t>MUNKEDAL</t>
        </is>
      </c>
      <c r="G9976" t="n">
        <v>8.9</v>
      </c>
      <c r="H9976" t="n">
        <v>0</v>
      </c>
      <c r="I9976" t="n">
        <v>0</v>
      </c>
      <c r="J9976" t="n">
        <v>0</v>
      </c>
      <c r="K9976" t="n">
        <v>0</v>
      </c>
      <c r="L9976" t="n">
        <v>0</v>
      </c>
      <c r="M9976" t="n">
        <v>0</v>
      </c>
      <c r="N9976" t="n">
        <v>0</v>
      </c>
      <c r="O9976" t="n">
        <v>0</v>
      </c>
      <c r="P9976" t="n">
        <v>0</v>
      </c>
      <c r="Q9976" t="n">
        <v>0</v>
      </c>
      <c r="R9976" s="2" t="inlineStr"/>
    </row>
    <row r="9977" ht="15" customHeight="1">
      <c r="A9977" t="inlineStr">
        <is>
          <t>A 19537-2025</t>
        </is>
      </c>
      <c r="B9977" s="1" t="n">
        <v>45770.4802662037</v>
      </c>
      <c r="C9977" s="1" t="n">
        <v>46011</v>
      </c>
      <c r="D9977" t="inlineStr">
        <is>
          <t>VÄSTRA GÖTALANDS LÄN</t>
        </is>
      </c>
      <c r="E9977" t="inlineStr">
        <is>
          <t>BORÅS</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19547-2025</t>
        </is>
      </c>
      <c r="B9978" s="1" t="n">
        <v>45770.49056712963</v>
      </c>
      <c r="C9978" s="1" t="n">
        <v>46011</v>
      </c>
      <c r="D9978" t="inlineStr">
        <is>
          <t>VÄSTRA GÖTALANDS LÄN</t>
        </is>
      </c>
      <c r="E9978" t="inlineStr">
        <is>
          <t>BORÅS</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62057-2025</t>
        </is>
      </c>
      <c r="B9979" s="1" t="n">
        <v>46006.33894675926</v>
      </c>
      <c r="C9979" s="1" t="n">
        <v>46011</v>
      </c>
      <c r="D9979" t="inlineStr">
        <is>
          <t>VÄSTRA GÖTALANDS LÄN</t>
        </is>
      </c>
      <c r="E9979" t="inlineStr">
        <is>
          <t>FALKÖPING</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62147-2025</t>
        </is>
      </c>
      <c r="B9980" s="1" t="n">
        <v>46006.47704861111</v>
      </c>
      <c r="C9980" s="1" t="n">
        <v>46011</v>
      </c>
      <c r="D9980" t="inlineStr">
        <is>
          <t>VÄSTRA GÖTALANDS LÄN</t>
        </is>
      </c>
      <c r="E9980" t="inlineStr">
        <is>
          <t>FALKÖPING</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15634-2023</t>
        </is>
      </c>
      <c r="B9981" s="1" t="n">
        <v>45021</v>
      </c>
      <c r="C9981" s="1" t="n">
        <v>46011</v>
      </c>
      <c r="D9981" t="inlineStr">
        <is>
          <t>VÄSTRA GÖTALANDS LÄN</t>
        </is>
      </c>
      <c r="E9981" t="inlineStr">
        <is>
          <t>UDDEVALLA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28881-2023</t>
        </is>
      </c>
      <c r="B9982" s="1" t="n">
        <v>45104</v>
      </c>
      <c r="C9982" s="1" t="n">
        <v>46011</v>
      </c>
      <c r="D9982" t="inlineStr">
        <is>
          <t>VÄSTRA GÖTALANDS LÄN</t>
        </is>
      </c>
      <c r="E9982" t="inlineStr">
        <is>
          <t>ULRICEHAMN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28893-2023</t>
        </is>
      </c>
      <c r="B9983" s="1" t="n">
        <v>45104</v>
      </c>
      <c r="C9983" s="1" t="n">
        <v>46011</v>
      </c>
      <c r="D9983" t="inlineStr">
        <is>
          <t>VÄSTRA GÖTALANDS LÄN</t>
        </is>
      </c>
      <c r="E9983" t="inlineStr">
        <is>
          <t>ULRICEHAMN</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2582-2024</t>
        </is>
      </c>
      <c r="B9984" s="1" t="n">
        <v>45313</v>
      </c>
      <c r="C9984" s="1" t="n">
        <v>46011</v>
      </c>
      <c r="D9984" t="inlineStr">
        <is>
          <t>VÄSTRA GÖTALANDS LÄN</t>
        </is>
      </c>
      <c r="E9984" t="inlineStr">
        <is>
          <t>BENGTSFORS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18639-2025</t>
        </is>
      </c>
      <c r="B9985" s="1" t="n">
        <v>45763.56734953704</v>
      </c>
      <c r="C9985" s="1" t="n">
        <v>46011</v>
      </c>
      <c r="D9985" t="inlineStr">
        <is>
          <t>VÄSTRA GÖTALANDS LÄN</t>
        </is>
      </c>
      <c r="E9985" t="inlineStr">
        <is>
          <t>TRANEMO</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18641-2025</t>
        </is>
      </c>
      <c r="B9986" s="1" t="n">
        <v>45763</v>
      </c>
      <c r="C9986" s="1" t="n">
        <v>46011</v>
      </c>
      <c r="D9986" t="inlineStr">
        <is>
          <t>VÄSTRA GÖTALANDS LÄN</t>
        </is>
      </c>
      <c r="E9986" t="inlineStr">
        <is>
          <t>TRANEMO</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40552-2024</t>
        </is>
      </c>
      <c r="B9987" s="1" t="n">
        <v>45555.64620370371</v>
      </c>
      <c r="C9987" s="1" t="n">
        <v>46011</v>
      </c>
      <c r="D9987" t="inlineStr">
        <is>
          <t>VÄSTRA GÖTALANDS LÄN</t>
        </is>
      </c>
      <c r="E9987" t="inlineStr">
        <is>
          <t>SVENLJUNGA</t>
        </is>
      </c>
      <c r="F9987" t="inlineStr">
        <is>
          <t>Kommuner</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22377-2024</t>
        </is>
      </c>
      <c r="B9988" s="1" t="n">
        <v>45446.6490162037</v>
      </c>
      <c r="C9988" s="1" t="n">
        <v>46011</v>
      </c>
      <c r="D9988" t="inlineStr">
        <is>
          <t>VÄSTRA GÖTALANDS LÄN</t>
        </is>
      </c>
      <c r="E9988" t="inlineStr">
        <is>
          <t>BENGTSFORS</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62068-2025</t>
        </is>
      </c>
      <c r="B9989" s="1" t="n">
        <v>46006.35954861111</v>
      </c>
      <c r="C9989" s="1" t="n">
        <v>46011</v>
      </c>
      <c r="D9989" t="inlineStr">
        <is>
          <t>VÄSTRA GÖTALANDS LÄN</t>
        </is>
      </c>
      <c r="E9989" t="inlineStr">
        <is>
          <t>KARLSBORG</t>
        </is>
      </c>
      <c r="F9989" t="inlineStr">
        <is>
          <t>Sveaskog</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54122-2025</t>
        </is>
      </c>
      <c r="B9990" s="1" t="n">
        <v>45964.4522337963</v>
      </c>
      <c r="C9990" s="1" t="n">
        <v>46011</v>
      </c>
      <c r="D9990" t="inlineStr">
        <is>
          <t>VÄSTRA GÖTALANDS LÄN</t>
        </is>
      </c>
      <c r="E9990" t="inlineStr">
        <is>
          <t>ALINGSÅS</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3334-2025</t>
        </is>
      </c>
      <c r="B9991" s="1" t="n">
        <v>45679.71046296296</v>
      </c>
      <c r="C9991" s="1" t="n">
        <v>46011</v>
      </c>
      <c r="D9991" t="inlineStr">
        <is>
          <t>VÄSTRA GÖTALANDS LÄN</t>
        </is>
      </c>
      <c r="E9991" t="inlineStr">
        <is>
          <t>GULLSPÅNG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23033-2024</t>
        </is>
      </c>
      <c r="B9992" s="1" t="n">
        <v>45450.38638888889</v>
      </c>
      <c r="C9992" s="1" t="n">
        <v>46011</v>
      </c>
      <c r="D9992" t="inlineStr">
        <is>
          <t>VÄSTRA GÖTALANDS LÄN</t>
        </is>
      </c>
      <c r="E9992" t="inlineStr">
        <is>
          <t>TÖREBODA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11814-2023</t>
        </is>
      </c>
      <c r="B9993" s="1" t="n">
        <v>44994.8055787037</v>
      </c>
      <c r="C9993" s="1" t="n">
        <v>46011</v>
      </c>
      <c r="D9993" t="inlineStr">
        <is>
          <t>VÄSTRA GÖTALANDS LÄN</t>
        </is>
      </c>
      <c r="E9993" t="inlineStr">
        <is>
          <t>MARIESTAD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11949-2023</t>
        </is>
      </c>
      <c r="B9994" s="1" t="n">
        <v>44994</v>
      </c>
      <c r="C9994" s="1" t="n">
        <v>46011</v>
      </c>
      <c r="D9994" t="inlineStr">
        <is>
          <t>VÄSTRA GÖTALANDS LÄN</t>
        </is>
      </c>
      <c r="E9994" t="inlineStr">
        <is>
          <t>LIDKÖPING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28684-2023</t>
        </is>
      </c>
      <c r="B9995" s="1" t="n">
        <v>45103</v>
      </c>
      <c r="C9995" s="1" t="n">
        <v>46011</v>
      </c>
      <c r="D9995" t="inlineStr">
        <is>
          <t>VÄSTRA GÖTALANDS LÄN</t>
        </is>
      </c>
      <c r="E9995" t="inlineStr">
        <is>
          <t>TIDAHOLM</t>
        </is>
      </c>
      <c r="F9995" t="inlineStr">
        <is>
          <t>Kyrkan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61804-2025</t>
        </is>
      </c>
      <c r="B9996" s="1" t="n">
        <v>46002</v>
      </c>
      <c r="C9996" s="1" t="n">
        <v>46011</v>
      </c>
      <c r="D9996" t="inlineStr">
        <is>
          <t>VÄSTRA GÖTALANDS LÄN</t>
        </is>
      </c>
      <c r="E9996" t="inlineStr">
        <is>
          <t>MUNKEDAL</t>
        </is>
      </c>
      <c r="F9996" t="inlineStr">
        <is>
          <t>Övriga Aktiebolag</t>
        </is>
      </c>
      <c r="G9996" t="n">
        <v>19.1</v>
      </c>
      <c r="H9996" t="n">
        <v>0</v>
      </c>
      <c r="I9996" t="n">
        <v>0</v>
      </c>
      <c r="J9996" t="n">
        <v>0</v>
      </c>
      <c r="K9996" t="n">
        <v>0</v>
      </c>
      <c r="L9996" t="n">
        <v>0</v>
      </c>
      <c r="M9996" t="n">
        <v>0</v>
      </c>
      <c r="N9996" t="n">
        <v>0</v>
      </c>
      <c r="O9996" t="n">
        <v>0</v>
      </c>
      <c r="P9996" t="n">
        <v>0</v>
      </c>
      <c r="Q9996" t="n">
        <v>0</v>
      </c>
      <c r="R9996" s="2" t="inlineStr"/>
    </row>
    <row r="9997" ht="15" customHeight="1">
      <c r="A9997" t="inlineStr">
        <is>
          <t>A 61852-2025</t>
        </is>
      </c>
      <c r="B9997" s="1" t="n">
        <v>46003.38299768518</v>
      </c>
      <c r="C9997" s="1" t="n">
        <v>46011</v>
      </c>
      <c r="D9997" t="inlineStr">
        <is>
          <t>VÄSTRA GÖTALANDS LÄN</t>
        </is>
      </c>
      <c r="E9997" t="inlineStr">
        <is>
          <t>MARIESTAD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61853-2025</t>
        </is>
      </c>
      <c r="B9998" s="1" t="n">
        <v>46003.38445601852</v>
      </c>
      <c r="C9998" s="1" t="n">
        <v>46011</v>
      </c>
      <c r="D9998" t="inlineStr">
        <is>
          <t>VÄSTRA GÖTALANDS LÄN</t>
        </is>
      </c>
      <c r="E9998" t="inlineStr">
        <is>
          <t>MARIESTAD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61863-2025</t>
        </is>
      </c>
      <c r="B9999" s="1" t="n">
        <v>46003.3871412037</v>
      </c>
      <c r="C9999" s="1" t="n">
        <v>46011</v>
      </c>
      <c r="D9999" t="inlineStr">
        <is>
          <t>VÄSTRA GÖTALANDS LÄN</t>
        </is>
      </c>
      <c r="E9999" t="inlineStr">
        <is>
          <t>MARIESTAD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29995-2023</t>
        </is>
      </c>
      <c r="B10000" s="1" t="n">
        <v>45109.62675925926</v>
      </c>
      <c r="C10000" s="1" t="n">
        <v>46011</v>
      </c>
      <c r="D10000" t="inlineStr">
        <is>
          <t>VÄSTRA GÖTALANDS LÄN</t>
        </is>
      </c>
      <c r="E10000" t="inlineStr">
        <is>
          <t>ÅMÅL</t>
        </is>
      </c>
      <c r="G10000" t="n">
        <v>7.4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30019-2023</t>
        </is>
      </c>
      <c r="B10001" s="1" t="n">
        <v>45109</v>
      </c>
      <c r="C10001" s="1" t="n">
        <v>46011</v>
      </c>
      <c r="D10001" t="inlineStr">
        <is>
          <t>VÄSTRA GÖTALANDS LÄN</t>
        </is>
      </c>
      <c r="E10001" t="inlineStr">
        <is>
          <t>SKARA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14722-2025</t>
        </is>
      </c>
      <c r="B10002" s="1" t="n">
        <v>45742.62731481482</v>
      </c>
      <c r="C10002" s="1" t="n">
        <v>46011</v>
      </c>
      <c r="D10002" t="inlineStr">
        <is>
          <t>VÄSTRA GÖTALANDS LÄN</t>
        </is>
      </c>
      <c r="E10002" t="inlineStr">
        <is>
          <t>TÖREBODA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16489-2025</t>
        </is>
      </c>
      <c r="B10003" s="1" t="n">
        <v>45751.58628472222</v>
      </c>
      <c r="C10003" s="1" t="n">
        <v>46011</v>
      </c>
      <c r="D10003" t="inlineStr">
        <is>
          <t>VÄSTRA GÖTALANDS LÄN</t>
        </is>
      </c>
      <c r="E10003" t="inlineStr">
        <is>
          <t>LILLA EDET</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62150-2025</t>
        </is>
      </c>
      <c r="B10004" s="1" t="n">
        <v>46006.47965277778</v>
      </c>
      <c r="C10004" s="1" t="n">
        <v>46011</v>
      </c>
      <c r="D10004" t="inlineStr">
        <is>
          <t>VÄSTRA GÖTALANDS LÄN</t>
        </is>
      </c>
      <c r="E10004" t="inlineStr">
        <is>
          <t>BENGTSFORS</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62216-2025</t>
        </is>
      </c>
      <c r="B10005" s="1" t="n">
        <v>46006.57706018518</v>
      </c>
      <c r="C10005" s="1" t="n">
        <v>46011</v>
      </c>
      <c r="D10005" t="inlineStr">
        <is>
          <t>VÄSTRA GÖTALANDS LÄN</t>
        </is>
      </c>
      <c r="E10005" t="inlineStr">
        <is>
          <t>DALS-ED</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1922-2024</t>
        </is>
      </c>
      <c r="B10006" s="1" t="n">
        <v>45308.43416666667</v>
      </c>
      <c r="C10006" s="1" t="n">
        <v>46011</v>
      </c>
      <c r="D10006" t="inlineStr">
        <is>
          <t>VÄSTRA GÖTALANDS LÄN</t>
        </is>
      </c>
      <c r="E10006" t="inlineStr">
        <is>
          <t>BOLLEBYGD</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12573-2025</t>
        </is>
      </c>
      <c r="B10007" s="1" t="n">
        <v>45732.35451388889</v>
      </c>
      <c r="C10007" s="1" t="n">
        <v>46011</v>
      </c>
      <c r="D10007" t="inlineStr">
        <is>
          <t>VÄSTRA GÖTALANDS LÄN</t>
        </is>
      </c>
      <c r="E10007" t="inlineStr">
        <is>
          <t>BENGTSFORS</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9716-2025</t>
        </is>
      </c>
      <c r="B10008" s="1" t="n">
        <v>45716.39700231481</v>
      </c>
      <c r="C10008" s="1" t="n">
        <v>46011</v>
      </c>
      <c r="D10008" t="inlineStr">
        <is>
          <t>VÄSTRA GÖTALANDS LÄN</t>
        </is>
      </c>
      <c r="E10008" t="inlineStr">
        <is>
          <t>BENGTSFORS</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29011-2023</t>
        </is>
      </c>
      <c r="B10009" s="1" t="n">
        <v>45104</v>
      </c>
      <c r="C10009" s="1" t="n">
        <v>46011</v>
      </c>
      <c r="D10009" t="inlineStr">
        <is>
          <t>VÄSTRA GÖTALANDS LÄN</t>
        </is>
      </c>
      <c r="E10009" t="inlineStr">
        <is>
          <t>SKÖVDE</t>
        </is>
      </c>
      <c r="F10009" t="inlineStr">
        <is>
          <t>Kommuner</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47724-2023</t>
        </is>
      </c>
      <c r="B10010" s="1" t="n">
        <v>45203</v>
      </c>
      <c r="C10010" s="1" t="n">
        <v>46011</v>
      </c>
      <c r="D10010" t="inlineStr">
        <is>
          <t>VÄSTRA GÖTALANDS LÄN</t>
        </is>
      </c>
      <c r="E10010" t="inlineStr">
        <is>
          <t>ULRICEHAMN</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54090-2025</t>
        </is>
      </c>
      <c r="B10011" s="1" t="n">
        <v>45964.39342592593</v>
      </c>
      <c r="C10011" s="1" t="n">
        <v>46011</v>
      </c>
      <c r="D10011" t="inlineStr">
        <is>
          <t>VÄSTRA GÖTALANDS LÄN</t>
        </is>
      </c>
      <c r="E10011" t="inlineStr">
        <is>
          <t>BENGTSFORS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28022-2023</t>
        </is>
      </c>
      <c r="B10012" s="1" t="n">
        <v>45098.95484953704</v>
      </c>
      <c r="C10012" s="1" t="n">
        <v>46011</v>
      </c>
      <c r="D10012" t="inlineStr">
        <is>
          <t>VÄSTRA GÖTALANDS LÄN</t>
        </is>
      </c>
      <c r="E10012" t="inlineStr">
        <is>
          <t>LILLA EDET</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61803-2025</t>
        </is>
      </c>
      <c r="B10013" s="1" t="n">
        <v>46002</v>
      </c>
      <c r="C10013" s="1" t="n">
        <v>46011</v>
      </c>
      <c r="D10013" t="inlineStr">
        <is>
          <t>VÄSTRA GÖTALANDS LÄN</t>
        </is>
      </c>
      <c r="E10013" t="inlineStr">
        <is>
          <t>GULLSPÅNG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14525-2024</t>
        </is>
      </c>
      <c r="B10014" s="1" t="n">
        <v>45394</v>
      </c>
      <c r="C10014" s="1" t="n">
        <v>46011</v>
      </c>
      <c r="D10014" t="inlineStr">
        <is>
          <t>VÄSTRA GÖTALANDS LÄN</t>
        </is>
      </c>
      <c r="E10014" t="inlineStr">
        <is>
          <t>KARLSBORG</t>
        </is>
      </c>
      <c r="F10014" t="inlineStr">
        <is>
          <t>Sveaskog</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62080-2025</t>
        </is>
      </c>
      <c r="B10015" s="1" t="n">
        <v>46006.37210648148</v>
      </c>
      <c r="C10015" s="1" t="n">
        <v>46011</v>
      </c>
      <c r="D10015" t="inlineStr">
        <is>
          <t>VÄSTRA GÖTALANDS LÄN</t>
        </is>
      </c>
      <c r="E10015" t="inlineStr">
        <is>
          <t>MARK</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54004-2025</t>
        </is>
      </c>
      <c r="B10016" s="1" t="n">
        <v>45961.60966435185</v>
      </c>
      <c r="C10016" s="1" t="n">
        <v>46011</v>
      </c>
      <c r="D10016" t="inlineStr">
        <is>
          <t>VÄSTRA GÖTALANDS LÄN</t>
        </is>
      </c>
      <c r="E10016" t="inlineStr">
        <is>
          <t>ALINGSÅS</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54016-2025</t>
        </is>
      </c>
      <c r="B10017" s="1" t="n">
        <v>45961</v>
      </c>
      <c r="C10017" s="1" t="n">
        <v>46011</v>
      </c>
      <c r="D10017" t="inlineStr">
        <is>
          <t>VÄSTRA GÖTALANDS LÄN</t>
        </is>
      </c>
      <c r="E10017" t="inlineStr">
        <is>
          <t>TÖREBODA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62254-2025</t>
        </is>
      </c>
      <c r="B10018" s="1" t="n">
        <v>46006.61049768519</v>
      </c>
      <c r="C10018" s="1" t="n">
        <v>46011</v>
      </c>
      <c r="D10018" t="inlineStr">
        <is>
          <t>VÄSTRA GÖTALANDS LÄN</t>
        </is>
      </c>
      <c r="E10018" t="inlineStr">
        <is>
          <t>FÄRGELANDA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62152-2025</t>
        </is>
      </c>
      <c r="B10019" s="1" t="n">
        <v>46006.48502314815</v>
      </c>
      <c r="C10019" s="1" t="n">
        <v>46011</v>
      </c>
      <c r="D10019" t="inlineStr">
        <is>
          <t>VÄSTRA GÖTALANDS LÄN</t>
        </is>
      </c>
      <c r="E10019" t="inlineStr">
        <is>
          <t>STRÖMSTAD</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54267-2025</t>
        </is>
      </c>
      <c r="B10020" s="1" t="n">
        <v>45964.67119212963</v>
      </c>
      <c r="C10020" s="1" t="n">
        <v>46011</v>
      </c>
      <c r="D10020" t="inlineStr">
        <is>
          <t>VÄSTRA GÖTALANDS LÄN</t>
        </is>
      </c>
      <c r="E10020" t="inlineStr">
        <is>
          <t>FALKÖPING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16061-2025</t>
        </is>
      </c>
      <c r="B10021" s="1" t="n">
        <v>45749.65101851852</v>
      </c>
      <c r="C10021" s="1" t="n">
        <v>46011</v>
      </c>
      <c r="D10021" t="inlineStr">
        <is>
          <t>VÄSTRA GÖTALANDS LÄN</t>
        </is>
      </c>
      <c r="E10021" t="inlineStr">
        <is>
          <t>SVENLJUNGA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30069-2023</t>
        </is>
      </c>
      <c r="B10022" s="1" t="n">
        <v>45110.42650462963</v>
      </c>
      <c r="C10022" s="1" t="n">
        <v>46011</v>
      </c>
      <c r="D10022" t="inlineStr">
        <is>
          <t>VÄSTRA GÖTALANDS LÄN</t>
        </is>
      </c>
      <c r="E10022" t="inlineStr">
        <is>
          <t>SKARA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30079-2023</t>
        </is>
      </c>
      <c r="B10023" s="1" t="n">
        <v>45110.43378472222</v>
      </c>
      <c r="C10023" s="1" t="n">
        <v>46011</v>
      </c>
      <c r="D10023" t="inlineStr">
        <is>
          <t>VÄSTRA GÖTALANDS LÄN</t>
        </is>
      </c>
      <c r="E10023" t="inlineStr">
        <is>
          <t>SKARA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53802-2025</t>
        </is>
      </c>
      <c r="B10024" s="1" t="n">
        <v>45960.79004629629</v>
      </c>
      <c r="C10024" s="1" t="n">
        <v>46011</v>
      </c>
      <c r="D10024" t="inlineStr">
        <is>
          <t>VÄSTRA GÖTALANDS LÄN</t>
        </is>
      </c>
      <c r="E10024" t="inlineStr">
        <is>
          <t>VARA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54217-2025</t>
        </is>
      </c>
      <c r="B10025" s="1" t="n">
        <v>45964.59778935185</v>
      </c>
      <c r="C10025" s="1" t="n">
        <v>46011</v>
      </c>
      <c r="D10025" t="inlineStr">
        <is>
          <t>VÄSTRA GÖTALANDS LÄN</t>
        </is>
      </c>
      <c r="E10025" t="inlineStr">
        <is>
          <t>TÖREBODA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48242-2024</t>
        </is>
      </c>
      <c r="B10026" s="1" t="n">
        <v>45590.39149305555</v>
      </c>
      <c r="C10026" s="1" t="n">
        <v>46011</v>
      </c>
      <c r="D10026" t="inlineStr">
        <is>
          <t>VÄSTRA GÖTALANDS LÄN</t>
        </is>
      </c>
      <c r="E10026" t="inlineStr">
        <is>
          <t>ULRICEHAMN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44620-2021</t>
        </is>
      </c>
      <c r="B10027" s="1" t="n">
        <v>44436</v>
      </c>
      <c r="C10027" s="1" t="n">
        <v>46011</v>
      </c>
      <c r="D10027" t="inlineStr">
        <is>
          <t>VÄSTRA GÖTALANDS LÄN</t>
        </is>
      </c>
      <c r="E10027" t="inlineStr">
        <is>
          <t>MUNKEDAL</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12633-2023</t>
        </is>
      </c>
      <c r="B10028" s="1" t="n">
        <v>45000.48731481482</v>
      </c>
      <c r="C10028" s="1" t="n">
        <v>46011</v>
      </c>
      <c r="D10028" t="inlineStr">
        <is>
          <t>VÄSTRA GÖTALANDS LÄN</t>
        </is>
      </c>
      <c r="E10028" t="inlineStr">
        <is>
          <t>SVENLJUNGA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59935-2024</t>
        </is>
      </c>
      <c r="B10029" s="1" t="n">
        <v>45642.32403935185</v>
      </c>
      <c r="C10029" s="1" t="n">
        <v>46011</v>
      </c>
      <c r="D10029" t="inlineStr">
        <is>
          <t>VÄSTRA GÖTALANDS LÄN</t>
        </is>
      </c>
      <c r="E10029" t="inlineStr">
        <is>
          <t>FALKÖPING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54074-2025</t>
        </is>
      </c>
      <c r="B10030" s="1" t="n">
        <v>45964.35775462963</v>
      </c>
      <c r="C10030" s="1" t="n">
        <v>46011</v>
      </c>
      <c r="D10030" t="inlineStr">
        <is>
          <t>VÄSTRA GÖTALANDS LÄN</t>
        </is>
      </c>
      <c r="E10030" t="inlineStr">
        <is>
          <t>ALINGSÅS</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15009-2023</t>
        </is>
      </c>
      <c r="B10031" s="1" t="n">
        <v>45015.59582175926</v>
      </c>
      <c r="C10031" s="1" t="n">
        <v>46011</v>
      </c>
      <c r="D10031" t="inlineStr">
        <is>
          <t>VÄSTRA GÖTALANDS LÄN</t>
        </is>
      </c>
      <c r="E10031" t="inlineStr">
        <is>
          <t>DALS-ED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50366-2024</t>
        </is>
      </c>
      <c r="B10032" s="1" t="n">
        <v>45600.87225694444</v>
      </c>
      <c r="C10032" s="1" t="n">
        <v>46011</v>
      </c>
      <c r="D10032" t="inlineStr">
        <is>
          <t>VÄSTRA GÖTALANDS LÄN</t>
        </is>
      </c>
      <c r="E10032" t="inlineStr">
        <is>
          <t>ESSUNGA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26443-2023</t>
        </is>
      </c>
      <c r="B10033" s="1" t="n">
        <v>45092</v>
      </c>
      <c r="C10033" s="1" t="n">
        <v>46011</v>
      </c>
      <c r="D10033" t="inlineStr">
        <is>
          <t>VÄSTRA GÖTALANDS LÄN</t>
        </is>
      </c>
      <c r="E10033" t="inlineStr">
        <is>
          <t>LILLA EDET</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15043-2023</t>
        </is>
      </c>
      <c r="B10034" s="1" t="n">
        <v>45015</v>
      </c>
      <c r="C10034" s="1" t="n">
        <v>46011</v>
      </c>
      <c r="D10034" t="inlineStr">
        <is>
          <t>VÄSTRA GÖTALANDS LÄN</t>
        </is>
      </c>
      <c r="E10034" t="inlineStr">
        <is>
          <t>FÄRGELANDA</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28047-2023</t>
        </is>
      </c>
      <c r="B10035" s="1" t="n">
        <v>45099</v>
      </c>
      <c r="C10035" s="1" t="n">
        <v>46011</v>
      </c>
      <c r="D10035" t="inlineStr">
        <is>
          <t>VÄSTRA GÖTALANDS LÄN</t>
        </is>
      </c>
      <c r="E10035" t="inlineStr">
        <is>
          <t>MARK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50986-2024</t>
        </is>
      </c>
      <c r="B10036" s="1" t="n">
        <v>45603.36643518518</v>
      </c>
      <c r="C10036" s="1" t="n">
        <v>46011</v>
      </c>
      <c r="D10036" t="inlineStr">
        <is>
          <t>VÄSTRA GÖTALANDS LÄN</t>
        </is>
      </c>
      <c r="E10036" t="inlineStr">
        <is>
          <t>BENGTSFORS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22278-2024</t>
        </is>
      </c>
      <c r="B10037" s="1" t="n">
        <v>45446</v>
      </c>
      <c r="C10037" s="1" t="n">
        <v>46011</v>
      </c>
      <c r="D10037" t="inlineStr">
        <is>
          <t>VÄSTRA GÖTALANDS LÄN</t>
        </is>
      </c>
      <c r="E10037" t="inlineStr">
        <is>
          <t>GÖTENE</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62227-2025</t>
        </is>
      </c>
      <c r="B10038" s="1" t="n">
        <v>46006.58729166666</v>
      </c>
      <c r="C10038" s="1" t="n">
        <v>46011</v>
      </c>
      <c r="D10038" t="inlineStr">
        <is>
          <t>VÄSTRA GÖTALANDS LÄN</t>
        </is>
      </c>
      <c r="E10038" t="inlineStr">
        <is>
          <t>TRANEMO</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16744-2024</t>
        </is>
      </c>
      <c r="B10039" s="1" t="n">
        <v>45411.21011574074</v>
      </c>
      <c r="C10039" s="1" t="n">
        <v>46011</v>
      </c>
      <c r="D10039" t="inlineStr">
        <is>
          <t>VÄSTRA GÖTALANDS LÄN</t>
        </is>
      </c>
      <c r="E10039" t="inlineStr">
        <is>
          <t>ULRICEHAMN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46575-2025</t>
        </is>
      </c>
      <c r="B10040" s="1" t="n">
        <v>45926</v>
      </c>
      <c r="C10040" s="1" t="n">
        <v>46011</v>
      </c>
      <c r="D10040" t="inlineStr">
        <is>
          <t>VÄSTRA GÖTALANDS LÄN</t>
        </is>
      </c>
      <c r="E10040" t="inlineStr">
        <is>
          <t>ESSUNGA</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17069-2023</t>
        </is>
      </c>
      <c r="B10041" s="1" t="n">
        <v>45034</v>
      </c>
      <c r="C10041" s="1" t="n">
        <v>46011</v>
      </c>
      <c r="D10041" t="inlineStr">
        <is>
          <t>VÄSTRA GÖTALANDS LÄN</t>
        </is>
      </c>
      <c r="E10041" t="inlineStr">
        <is>
          <t>GÖTENE</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17114-2023</t>
        </is>
      </c>
      <c r="B10042" s="1" t="n">
        <v>45034.58234953704</v>
      </c>
      <c r="C10042" s="1" t="n">
        <v>46011</v>
      </c>
      <c r="D10042" t="inlineStr">
        <is>
          <t>VÄSTRA GÖTALANDS LÄN</t>
        </is>
      </c>
      <c r="E10042" t="inlineStr">
        <is>
          <t>LILLA EDET</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17130-2023</t>
        </is>
      </c>
      <c r="B10043" s="1" t="n">
        <v>45034.60506944444</v>
      </c>
      <c r="C10043" s="1" t="n">
        <v>46011</v>
      </c>
      <c r="D10043" t="inlineStr">
        <is>
          <t>VÄSTRA GÖTALANDS LÄN</t>
        </is>
      </c>
      <c r="E10043" t="inlineStr">
        <is>
          <t>SVENLJUNGA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61890-2025</t>
        </is>
      </c>
      <c r="B10044" s="1" t="n">
        <v>46003.45106481481</v>
      </c>
      <c r="C10044" s="1" t="n">
        <v>46011</v>
      </c>
      <c r="D10044" t="inlineStr">
        <is>
          <t>VÄSTRA GÖTALANDS LÄN</t>
        </is>
      </c>
      <c r="E10044" t="inlineStr">
        <is>
          <t>TANUM</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61965-2025</t>
        </is>
      </c>
      <c r="B10045" s="1" t="n">
        <v>46003.59416666667</v>
      </c>
      <c r="C10045" s="1" t="n">
        <v>46011</v>
      </c>
      <c r="D10045" t="inlineStr">
        <is>
          <t>VÄSTRA GÖTALANDS LÄN</t>
        </is>
      </c>
      <c r="E10045" t="inlineStr">
        <is>
          <t>BENGTSFORS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9416-2023</t>
        </is>
      </c>
      <c r="B10046" s="1" t="n">
        <v>44981.47715277778</v>
      </c>
      <c r="C10046" s="1" t="n">
        <v>46011</v>
      </c>
      <c r="D10046" t="inlineStr">
        <is>
          <t>VÄSTRA GÖTALANDS LÄN</t>
        </is>
      </c>
      <c r="E10046" t="inlineStr">
        <is>
          <t>SVENLJUNGA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10670-2024</t>
        </is>
      </c>
      <c r="B10047" s="1" t="n">
        <v>45369.34828703704</v>
      </c>
      <c r="C10047" s="1" t="n">
        <v>46011</v>
      </c>
      <c r="D10047" t="inlineStr">
        <is>
          <t>VÄSTRA GÖTALANDS LÄN</t>
        </is>
      </c>
      <c r="E10047" t="inlineStr">
        <is>
          <t>HJO</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54119-2025</t>
        </is>
      </c>
      <c r="B10048" s="1" t="n">
        <v>45964.44572916667</v>
      </c>
      <c r="C10048" s="1" t="n">
        <v>46011</v>
      </c>
      <c r="D10048" t="inlineStr">
        <is>
          <t>VÄSTRA GÖTALANDS LÄN</t>
        </is>
      </c>
      <c r="E10048" t="inlineStr">
        <is>
          <t>MARK</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54126-2025</t>
        </is>
      </c>
      <c r="B10049" s="1" t="n">
        <v>45964.45715277778</v>
      </c>
      <c r="C10049" s="1" t="n">
        <v>46011</v>
      </c>
      <c r="D10049" t="inlineStr">
        <is>
          <t>VÄSTRA GÖTALANDS LÄN</t>
        </is>
      </c>
      <c r="E10049" t="inlineStr">
        <is>
          <t>STRÖMSTAD</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22601-2023</t>
        </is>
      </c>
      <c r="B10050" s="1" t="n">
        <v>45071</v>
      </c>
      <c r="C10050" s="1" t="n">
        <v>46011</v>
      </c>
      <c r="D10050" t="inlineStr">
        <is>
          <t>VÄSTRA GÖTALANDS LÄN</t>
        </is>
      </c>
      <c r="E10050" t="inlineStr">
        <is>
          <t>BENGTSFORS</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22609-2023</t>
        </is>
      </c>
      <c r="B10051" s="1" t="n">
        <v>45071</v>
      </c>
      <c r="C10051" s="1" t="n">
        <v>46011</v>
      </c>
      <c r="D10051" t="inlineStr">
        <is>
          <t>VÄSTRA GÖTALANDS LÄN</t>
        </is>
      </c>
      <c r="E10051" t="inlineStr">
        <is>
          <t>ULRICEHAMN</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12634-2024</t>
        </is>
      </c>
      <c r="B10052" s="1" t="n">
        <v>45384.30657407407</v>
      </c>
      <c r="C10052" s="1" t="n">
        <v>46011</v>
      </c>
      <c r="D10052" t="inlineStr">
        <is>
          <t>VÄSTRA GÖTALANDS LÄN</t>
        </is>
      </c>
      <c r="E10052" t="inlineStr">
        <is>
          <t>TÖREBODA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54148-2025</t>
        </is>
      </c>
      <c r="B10053" s="1" t="n">
        <v>45964.48523148148</v>
      </c>
      <c r="C10053" s="1" t="n">
        <v>46011</v>
      </c>
      <c r="D10053" t="inlineStr">
        <is>
          <t>VÄSTRA GÖTALANDS LÄN</t>
        </is>
      </c>
      <c r="E10053" t="inlineStr">
        <is>
          <t>MELLERUD</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54191-2025</t>
        </is>
      </c>
      <c r="B10054" s="1" t="n">
        <v>45964.57228009259</v>
      </c>
      <c r="C10054" s="1" t="n">
        <v>46011</v>
      </c>
      <c r="D10054" t="inlineStr">
        <is>
          <t>VÄSTRA GÖTALANDS LÄN</t>
        </is>
      </c>
      <c r="E10054" t="inlineStr">
        <is>
          <t>LIDKÖPING</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54206-2025</t>
        </is>
      </c>
      <c r="B10055" s="1" t="n">
        <v>45964.58819444444</v>
      </c>
      <c r="C10055" s="1" t="n">
        <v>46011</v>
      </c>
      <c r="D10055" t="inlineStr">
        <is>
          <t>VÄSTRA GÖTALANDS LÄN</t>
        </is>
      </c>
      <c r="E10055" t="inlineStr">
        <is>
          <t>FALKÖPING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54073-2025</t>
        </is>
      </c>
      <c r="B10056" s="1" t="n">
        <v>45964.3555324074</v>
      </c>
      <c r="C10056" s="1" t="n">
        <v>46011</v>
      </c>
      <c r="D10056" t="inlineStr">
        <is>
          <t>VÄSTRA GÖTALANDS LÄN</t>
        </is>
      </c>
      <c r="E10056" t="inlineStr">
        <is>
          <t>ALINGSÅS</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59474-2022</t>
        </is>
      </c>
      <c r="B10057" s="1" t="n">
        <v>44900</v>
      </c>
      <c r="C10057" s="1" t="n">
        <v>46011</v>
      </c>
      <c r="D10057" t="inlineStr">
        <is>
          <t>VÄSTRA GÖTALANDS LÄN</t>
        </is>
      </c>
      <c r="E10057" t="inlineStr">
        <is>
          <t>UDDEVALLA</t>
        </is>
      </c>
      <c r="F10057" t="inlineStr">
        <is>
          <t>Kyrkan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54033-2025</t>
        </is>
      </c>
      <c r="B10058" s="1" t="n">
        <v>45963.3319212963</v>
      </c>
      <c r="C10058" s="1" t="n">
        <v>46011</v>
      </c>
      <c r="D10058" t="inlineStr">
        <is>
          <t>VÄSTRA GÖTALANDS LÄN</t>
        </is>
      </c>
      <c r="E10058" t="inlineStr">
        <is>
          <t>FALKÖPING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21800-2023</t>
        </is>
      </c>
      <c r="B10059" s="1" t="n">
        <v>45067.85023148148</v>
      </c>
      <c r="C10059" s="1" t="n">
        <v>46011</v>
      </c>
      <c r="D10059" t="inlineStr">
        <is>
          <t>VÄSTRA GÖTALANDS LÄN</t>
        </is>
      </c>
      <c r="E10059" t="inlineStr">
        <is>
          <t>HÄRRYDA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52778-2022</t>
        </is>
      </c>
      <c r="B10060" s="1" t="n">
        <v>44875</v>
      </c>
      <c r="C10060" s="1" t="n">
        <v>46011</v>
      </c>
      <c r="D10060" t="inlineStr">
        <is>
          <t>VÄSTRA GÖTALANDS LÄN</t>
        </is>
      </c>
      <c r="E10060" t="inlineStr">
        <is>
          <t>VARA</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37174-2024</t>
        </is>
      </c>
      <c r="B10061" s="1" t="n">
        <v>45539.63673611111</v>
      </c>
      <c r="C10061" s="1" t="n">
        <v>46011</v>
      </c>
      <c r="D10061" t="inlineStr">
        <is>
          <t>VÄSTRA GÖTALANDS LÄN</t>
        </is>
      </c>
      <c r="E10061" t="inlineStr">
        <is>
          <t>ÅMÅL</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53869-2025</t>
        </is>
      </c>
      <c r="B10062" s="1" t="n">
        <v>45961.38677083333</v>
      </c>
      <c r="C10062" s="1" t="n">
        <v>46011</v>
      </c>
      <c r="D10062" t="inlineStr">
        <is>
          <t>VÄSTRA GÖTALANDS LÄN</t>
        </is>
      </c>
      <c r="E10062" t="inlineStr">
        <is>
          <t>VÄNERSBORG</t>
        </is>
      </c>
      <c r="F10062" t="inlineStr">
        <is>
          <t>Kommuner</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61958-2025</t>
        </is>
      </c>
      <c r="B10063" s="1" t="n">
        <v>46003.58741898148</v>
      </c>
      <c r="C10063" s="1" t="n">
        <v>46011</v>
      </c>
      <c r="D10063" t="inlineStr">
        <is>
          <t>VÄSTRA GÖTALANDS LÄN</t>
        </is>
      </c>
      <c r="E10063" t="inlineStr">
        <is>
          <t>BENGTSFORS</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46047-2023</t>
        </is>
      </c>
      <c r="B10064" s="1" t="n">
        <v>45196.44100694444</v>
      </c>
      <c r="C10064" s="1" t="n">
        <v>46011</v>
      </c>
      <c r="D10064" t="inlineStr">
        <is>
          <t>VÄSTRA GÖTALANDS LÄN</t>
        </is>
      </c>
      <c r="E10064" t="inlineStr">
        <is>
          <t>TANUM</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46081-2023</t>
        </is>
      </c>
      <c r="B10065" s="1" t="n">
        <v>45196.4919212963</v>
      </c>
      <c r="C10065" s="1" t="n">
        <v>46011</v>
      </c>
      <c r="D10065" t="inlineStr">
        <is>
          <t>VÄSTRA GÖTALANDS LÄN</t>
        </is>
      </c>
      <c r="E10065" t="inlineStr">
        <is>
          <t>TRANEMO</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62335-2025</t>
        </is>
      </c>
      <c r="B10066" s="1" t="n">
        <v>46006.75179398148</v>
      </c>
      <c r="C10066" s="1" t="n">
        <v>46011</v>
      </c>
      <c r="D10066" t="inlineStr">
        <is>
          <t>VÄSTRA GÖTALANDS LÄN</t>
        </is>
      </c>
      <c r="E10066" t="inlineStr">
        <is>
          <t>LIDKÖPING</t>
        </is>
      </c>
      <c r="F10066" t="inlineStr">
        <is>
          <t>Kommuner</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54128-2025</t>
        </is>
      </c>
      <c r="B10067" s="1" t="n">
        <v>45964.45993055555</v>
      </c>
      <c r="C10067" s="1" t="n">
        <v>46011</v>
      </c>
      <c r="D10067" t="inlineStr">
        <is>
          <t>VÄSTRA GÖTALANDS LÄN</t>
        </is>
      </c>
      <c r="E10067" t="inlineStr">
        <is>
          <t>ORUST</t>
        </is>
      </c>
      <c r="G10067" t="n">
        <v>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24008-2023</t>
        </is>
      </c>
      <c r="B10068" s="1" t="n">
        <v>45078.67081018518</v>
      </c>
      <c r="C10068" s="1" t="n">
        <v>46011</v>
      </c>
      <c r="D10068" t="inlineStr">
        <is>
          <t>VÄSTRA GÖTALANDS LÄN</t>
        </is>
      </c>
      <c r="E10068" t="inlineStr">
        <is>
          <t>KARLSBORG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61819-2025</t>
        </is>
      </c>
      <c r="B10069" s="1" t="n">
        <v>46003.3241087963</v>
      </c>
      <c r="C10069" s="1" t="n">
        <v>46011</v>
      </c>
      <c r="D10069" t="inlineStr">
        <is>
          <t>VÄSTRA GÖTALANDS LÄN</t>
        </is>
      </c>
      <c r="E10069" t="inlineStr">
        <is>
          <t>ALE</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70783-2021</t>
        </is>
      </c>
      <c r="B10070" s="1" t="n">
        <v>44537</v>
      </c>
      <c r="C10070" s="1" t="n">
        <v>46011</v>
      </c>
      <c r="D10070" t="inlineStr">
        <is>
          <t>VÄSTRA GÖTALANDS LÄN</t>
        </is>
      </c>
      <c r="E10070" t="inlineStr">
        <is>
          <t>KARLSBORG</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61820-2021</t>
        </is>
      </c>
      <c r="B10071" s="1" t="n">
        <v>44501.78688657407</v>
      </c>
      <c r="C10071" s="1" t="n">
        <v>46011</v>
      </c>
      <c r="D10071" t="inlineStr">
        <is>
          <t>VÄSTRA GÖTALANDS LÄN</t>
        </is>
      </c>
      <c r="E10071" t="inlineStr">
        <is>
          <t>BENGTSFORS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62072-2025</t>
        </is>
      </c>
      <c r="B10072" s="1" t="n">
        <v>46006.36180555556</v>
      </c>
      <c r="C10072" s="1" t="n">
        <v>46011</v>
      </c>
      <c r="D10072" t="inlineStr">
        <is>
          <t>VÄSTRA GÖTALANDS LÄN</t>
        </is>
      </c>
      <c r="E10072" t="inlineStr">
        <is>
          <t>KARLSBORG</t>
        </is>
      </c>
      <c r="F10072" t="inlineStr">
        <is>
          <t>Sveaskog</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62109-2025</t>
        </is>
      </c>
      <c r="B10073" s="1" t="n">
        <v>46006.43011574074</v>
      </c>
      <c r="C10073" s="1" t="n">
        <v>46011</v>
      </c>
      <c r="D10073" t="inlineStr">
        <is>
          <t>VÄSTRA GÖTALANDS LÄN</t>
        </is>
      </c>
      <c r="E10073" t="inlineStr">
        <is>
          <t>HERRLJUNGA</t>
        </is>
      </c>
      <c r="F10073" t="inlineStr">
        <is>
          <t>Sveaskog</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17640-2025</t>
        </is>
      </c>
      <c r="B10074" s="1" t="n">
        <v>45758.32174768519</v>
      </c>
      <c r="C10074" s="1" t="n">
        <v>46011</v>
      </c>
      <c r="D10074" t="inlineStr">
        <is>
          <t>VÄSTRA GÖTALANDS LÄN</t>
        </is>
      </c>
      <c r="E10074" t="inlineStr">
        <is>
          <t>FÄRGELANDA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42386-2023</t>
        </is>
      </c>
      <c r="B10075" s="1" t="n">
        <v>45180</v>
      </c>
      <c r="C10075" s="1" t="n">
        <v>46011</v>
      </c>
      <c r="D10075" t="inlineStr">
        <is>
          <t>VÄSTRA GÖTALANDS LÄN</t>
        </is>
      </c>
      <c r="E10075" t="inlineStr">
        <is>
          <t>BENGTSFORS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34665-2023</t>
        </is>
      </c>
      <c r="B10076" s="1" t="n">
        <v>45140.81900462963</v>
      </c>
      <c r="C10076" s="1" t="n">
        <v>46011</v>
      </c>
      <c r="D10076" t="inlineStr">
        <is>
          <t>VÄSTRA GÖTALANDS LÄN</t>
        </is>
      </c>
      <c r="E10076" t="inlineStr">
        <is>
          <t>HÄRRYDA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58750-2021</t>
        </is>
      </c>
      <c r="B10077" s="1" t="n">
        <v>44489</v>
      </c>
      <c r="C10077" s="1" t="n">
        <v>46011</v>
      </c>
      <c r="D10077" t="inlineStr">
        <is>
          <t>VÄSTRA GÖTALANDS LÄN</t>
        </is>
      </c>
      <c r="E10077" t="inlineStr">
        <is>
          <t>LILLA EDET</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58771-2021</t>
        </is>
      </c>
      <c r="B10078" s="1" t="n">
        <v>44489.54841435186</v>
      </c>
      <c r="C10078" s="1" t="n">
        <v>46011</v>
      </c>
      <c r="D10078" t="inlineStr">
        <is>
          <t>VÄSTRA GÖTALANDS LÄN</t>
        </is>
      </c>
      <c r="E10078" t="inlineStr">
        <is>
          <t>BORÅS</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42901-2024</t>
        </is>
      </c>
      <c r="B10079" s="1" t="n">
        <v>45566.87013888889</v>
      </c>
      <c r="C10079" s="1" t="n">
        <v>46011</v>
      </c>
      <c r="D10079" t="inlineStr">
        <is>
          <t>VÄSTRA GÖTALANDS LÄN</t>
        </is>
      </c>
      <c r="E10079" t="inlineStr">
        <is>
          <t>SVENLJUNGA</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61695-2025</t>
        </is>
      </c>
      <c r="B10080" s="1" t="n">
        <v>46002.52787037037</v>
      </c>
      <c r="C10080" s="1" t="n">
        <v>46011</v>
      </c>
      <c r="D10080" t="inlineStr">
        <is>
          <t>VÄSTRA GÖTALANDS LÄN</t>
        </is>
      </c>
      <c r="E10080" t="inlineStr">
        <is>
          <t>LILLA EDET</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30478-2023</t>
        </is>
      </c>
      <c r="B10081" s="1" t="n">
        <v>45111.600625</v>
      </c>
      <c r="C10081" s="1" t="n">
        <v>46011</v>
      </c>
      <c r="D10081" t="inlineStr">
        <is>
          <t>VÄSTRA GÖTALANDS LÄN</t>
        </is>
      </c>
      <c r="E10081" t="inlineStr">
        <is>
          <t>ALINGSÅS</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30479-2023</t>
        </is>
      </c>
      <c r="B10082" s="1" t="n">
        <v>45111.60162037037</v>
      </c>
      <c r="C10082" s="1" t="n">
        <v>46011</v>
      </c>
      <c r="D10082" t="inlineStr">
        <is>
          <t>VÄSTRA GÖTALANDS LÄN</t>
        </is>
      </c>
      <c r="E10082" t="inlineStr">
        <is>
          <t>SKARA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54173-2025</t>
        </is>
      </c>
      <c r="B10083" s="1" t="n">
        <v>45964.53640046297</v>
      </c>
      <c r="C10083" s="1" t="n">
        <v>46011</v>
      </c>
      <c r="D10083" t="inlineStr">
        <is>
          <t>VÄSTRA GÖTALANDS LÄN</t>
        </is>
      </c>
      <c r="E10083" t="inlineStr">
        <is>
          <t>BENGTSFORS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54247-2025</t>
        </is>
      </c>
      <c r="B10084" s="1" t="n">
        <v>45964.64162037037</v>
      </c>
      <c r="C10084" s="1" t="n">
        <v>46011</v>
      </c>
      <c r="D10084" t="inlineStr">
        <is>
          <t>VÄSTRA GÖTALANDS LÄN</t>
        </is>
      </c>
      <c r="E10084" t="inlineStr">
        <is>
          <t>STENUNGSUND</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53935-2025</t>
        </is>
      </c>
      <c r="B10085" s="1" t="n">
        <v>45961.48157407407</v>
      </c>
      <c r="C10085" s="1" t="n">
        <v>46011</v>
      </c>
      <c r="D10085" t="inlineStr">
        <is>
          <t>VÄSTRA GÖTALANDS LÄN</t>
        </is>
      </c>
      <c r="E10085" t="inlineStr">
        <is>
          <t>SVENLJUNGA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5294-2023</t>
        </is>
      </c>
      <c r="B10086" s="1" t="n">
        <v>44959.53804398148</v>
      </c>
      <c r="C10086" s="1" t="n">
        <v>46011</v>
      </c>
      <c r="D10086" t="inlineStr">
        <is>
          <t>VÄSTRA GÖTALANDS LÄN</t>
        </is>
      </c>
      <c r="E10086" t="inlineStr">
        <is>
          <t>ULRICEHAMN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5312-2023</t>
        </is>
      </c>
      <c r="B10087" s="1" t="n">
        <v>44959.56513888889</v>
      </c>
      <c r="C10087" s="1" t="n">
        <v>46011</v>
      </c>
      <c r="D10087" t="inlineStr">
        <is>
          <t>VÄSTRA GÖTALANDS LÄN</t>
        </is>
      </c>
      <c r="E10087" t="inlineStr">
        <is>
          <t>DALS-ED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33092-2023</t>
        </is>
      </c>
      <c r="B10088" s="1" t="n">
        <v>45126.51414351852</v>
      </c>
      <c r="C10088" s="1" t="n">
        <v>46011</v>
      </c>
      <c r="D10088" t="inlineStr">
        <is>
          <t>VÄSTRA GÖTALANDS LÄN</t>
        </is>
      </c>
      <c r="E10088" t="inlineStr">
        <is>
          <t>MELLERUD</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33209-2023</t>
        </is>
      </c>
      <c r="B10089" s="1" t="n">
        <v>45127</v>
      </c>
      <c r="C10089" s="1" t="n">
        <v>46011</v>
      </c>
      <c r="D10089" t="inlineStr">
        <is>
          <t>VÄSTRA GÖTALANDS LÄN</t>
        </is>
      </c>
      <c r="E10089" t="inlineStr">
        <is>
          <t>LIDKÖPING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31302-2023</t>
        </is>
      </c>
      <c r="B10090" s="1" t="n">
        <v>45104</v>
      </c>
      <c r="C10090" s="1" t="n">
        <v>46011</v>
      </c>
      <c r="D10090" t="inlineStr">
        <is>
          <t>VÄSTRA GÖTALANDS LÄN</t>
        </is>
      </c>
      <c r="E10090" t="inlineStr">
        <is>
          <t>MARK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3495-2023</t>
        </is>
      </c>
      <c r="B10091" s="1" t="n">
        <v>44949</v>
      </c>
      <c r="C10091" s="1" t="n">
        <v>46011</v>
      </c>
      <c r="D10091" t="inlineStr">
        <is>
          <t>VÄSTRA GÖTALANDS LÄN</t>
        </is>
      </c>
      <c r="E10091" t="inlineStr">
        <is>
          <t>ALINGSÅS</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61092-2021</t>
        </is>
      </c>
      <c r="B10092" s="1" t="n">
        <v>44498</v>
      </c>
      <c r="C10092" s="1" t="n">
        <v>46011</v>
      </c>
      <c r="D10092" t="inlineStr">
        <is>
          <t>VÄSTRA GÖTALANDS LÄN</t>
        </is>
      </c>
      <c r="E10092" t="inlineStr">
        <is>
          <t>ÅMÅL</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12681-2021</t>
        </is>
      </c>
      <c r="B10093" s="1" t="n">
        <v>44267</v>
      </c>
      <c r="C10093" s="1" t="n">
        <v>46011</v>
      </c>
      <c r="D10093" t="inlineStr">
        <is>
          <t>VÄSTRA GÖTALANDS LÄN</t>
        </is>
      </c>
      <c r="E10093" t="inlineStr">
        <is>
          <t>ULRICEHAMN</t>
        </is>
      </c>
      <c r="F10093" t="inlineStr">
        <is>
          <t>Kyrkan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62382-2025</t>
        </is>
      </c>
      <c r="B10094" s="1" t="n">
        <v>46006</v>
      </c>
      <c r="C10094" s="1" t="n">
        <v>46011</v>
      </c>
      <c r="D10094" t="inlineStr">
        <is>
          <t>VÄSTRA GÖTALANDS LÄN</t>
        </is>
      </c>
      <c r="E10094" t="inlineStr">
        <is>
          <t>MUNKEDAL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49371-2023</t>
        </is>
      </c>
      <c r="B10095" s="1" t="n">
        <v>45211.36153935185</v>
      </c>
      <c r="C10095" s="1" t="n">
        <v>46011</v>
      </c>
      <c r="D10095" t="inlineStr">
        <is>
          <t>VÄSTRA GÖTALANDS LÄN</t>
        </is>
      </c>
      <c r="E10095" t="inlineStr">
        <is>
          <t>MARIESTAD</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60139-2022</t>
        </is>
      </c>
      <c r="B10096" s="1" t="n">
        <v>44902</v>
      </c>
      <c r="C10096" s="1" t="n">
        <v>46011</v>
      </c>
      <c r="D10096" t="inlineStr">
        <is>
          <t>VÄSTRA GÖTALANDS LÄN</t>
        </is>
      </c>
      <c r="E10096" t="inlineStr">
        <is>
          <t>DALS-ED</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5388-2023</t>
        </is>
      </c>
      <c r="B10097" s="1" t="n">
        <v>44959</v>
      </c>
      <c r="C10097" s="1" t="n">
        <v>46011</v>
      </c>
      <c r="D10097" t="inlineStr">
        <is>
          <t>VÄSTRA GÖTALANDS LÄN</t>
        </is>
      </c>
      <c r="E10097" t="inlineStr">
        <is>
          <t>DALS-ED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62554-2025</t>
        </is>
      </c>
      <c r="B10098" s="1" t="n">
        <v>46007.67928240741</v>
      </c>
      <c r="C10098" s="1" t="n">
        <v>46011</v>
      </c>
      <c r="D10098" t="inlineStr">
        <is>
          <t>VÄSTRA GÖTALANDS LÄN</t>
        </is>
      </c>
      <c r="E10098" t="inlineStr">
        <is>
          <t>FALKÖPING</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20112-2025</t>
        </is>
      </c>
      <c r="B10099" s="1" t="n">
        <v>45772.47728009259</v>
      </c>
      <c r="C10099" s="1" t="n">
        <v>46011</v>
      </c>
      <c r="D10099" t="inlineStr">
        <is>
          <t>VÄSTRA GÖTALANDS LÄN</t>
        </is>
      </c>
      <c r="E10099" t="inlineStr">
        <is>
          <t>BENGTSFORS</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62567-2025</t>
        </is>
      </c>
      <c r="B10100" s="1" t="n">
        <v>46007.69918981481</v>
      </c>
      <c r="C10100" s="1" t="n">
        <v>46011</v>
      </c>
      <c r="D10100" t="inlineStr">
        <is>
          <t>VÄSTRA GÖTALANDS LÄN</t>
        </is>
      </c>
      <c r="E10100" t="inlineStr">
        <is>
          <t>UDDEVALLA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3719-2024</t>
        </is>
      </c>
      <c r="B10101" s="1" t="n">
        <v>45321</v>
      </c>
      <c r="C10101" s="1" t="n">
        <v>46011</v>
      </c>
      <c r="D10101" t="inlineStr">
        <is>
          <t>VÄSTRA GÖTALANDS LÄN</t>
        </is>
      </c>
      <c r="E10101" t="inlineStr">
        <is>
          <t>BORÅS</t>
        </is>
      </c>
      <c r="F10101" t="inlineStr">
        <is>
          <t>Kommuner</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62660-2025</t>
        </is>
      </c>
      <c r="B10102" s="1" t="n">
        <v>46008.42648148148</v>
      </c>
      <c r="C10102" s="1" t="n">
        <v>46011</v>
      </c>
      <c r="D10102" t="inlineStr">
        <is>
          <t>VÄSTRA GÖTALANDS LÄN</t>
        </is>
      </c>
      <c r="E10102" t="inlineStr">
        <is>
          <t>MARK</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40065-2023</t>
        </is>
      </c>
      <c r="B10103" s="1" t="n">
        <v>45168</v>
      </c>
      <c r="C10103" s="1" t="n">
        <v>46011</v>
      </c>
      <c r="D10103" t="inlineStr">
        <is>
          <t>VÄSTRA GÖTALANDS LÄN</t>
        </is>
      </c>
      <c r="E10103" t="inlineStr">
        <is>
          <t>MELLERUD</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54728-2025</t>
        </is>
      </c>
      <c r="B10104" s="1" t="n">
        <v>45966.55646990741</v>
      </c>
      <c r="C10104" s="1" t="n">
        <v>46011</v>
      </c>
      <c r="D10104" t="inlineStr">
        <is>
          <t>VÄSTRA GÖTALANDS LÄN</t>
        </is>
      </c>
      <c r="E10104" t="inlineStr">
        <is>
          <t>ULRICEHAMN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62122-2024</t>
        </is>
      </c>
      <c r="B10105" s="1" t="n">
        <v>45656.57710648148</v>
      </c>
      <c r="C10105" s="1" t="n">
        <v>46011</v>
      </c>
      <c r="D10105" t="inlineStr">
        <is>
          <t>VÄSTRA GÖTALANDS LÄN</t>
        </is>
      </c>
      <c r="E10105" t="inlineStr">
        <is>
          <t>ESSUNGA</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54688-2025</t>
        </is>
      </c>
      <c r="B10106" s="1" t="n">
        <v>45966.45077546296</v>
      </c>
      <c r="C10106" s="1" t="n">
        <v>46011</v>
      </c>
      <c r="D10106" t="inlineStr">
        <is>
          <t>VÄSTRA GÖTALANDS LÄN</t>
        </is>
      </c>
      <c r="E10106" t="inlineStr">
        <is>
          <t>DALS-ED</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54701-2025</t>
        </is>
      </c>
      <c r="B10107" s="1" t="n">
        <v>45966.47996527778</v>
      </c>
      <c r="C10107" s="1" t="n">
        <v>46011</v>
      </c>
      <c r="D10107" t="inlineStr">
        <is>
          <t>VÄSTRA GÖTALANDS LÄN</t>
        </is>
      </c>
      <c r="E10107" t="inlineStr">
        <is>
          <t>ALINGSÅS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54695-2025</t>
        </is>
      </c>
      <c r="B10108" s="1" t="n">
        <v>45966.46392361111</v>
      </c>
      <c r="C10108" s="1" t="n">
        <v>46011</v>
      </c>
      <c r="D10108" t="inlineStr">
        <is>
          <t>VÄSTRA GÖTALANDS LÄN</t>
        </is>
      </c>
      <c r="E10108" t="inlineStr">
        <is>
          <t>DALS-ED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54699-2025</t>
        </is>
      </c>
      <c r="B10109" s="1" t="n">
        <v>45966.47914351852</v>
      </c>
      <c r="C10109" s="1" t="n">
        <v>46011</v>
      </c>
      <c r="D10109" t="inlineStr">
        <is>
          <t>VÄSTRA GÖTALANDS LÄN</t>
        </is>
      </c>
      <c r="E10109" t="inlineStr">
        <is>
          <t>ALINGSÅS</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32631-2023</t>
        </is>
      </c>
      <c r="B10110" s="1" t="n">
        <v>45121.58388888889</v>
      </c>
      <c r="C10110" s="1" t="n">
        <v>46011</v>
      </c>
      <c r="D10110" t="inlineStr">
        <is>
          <t>VÄSTRA GÖTALANDS LÄN</t>
        </is>
      </c>
      <c r="E10110" t="inlineStr">
        <is>
          <t>MARK</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68454-2021</t>
        </is>
      </c>
      <c r="B10111" s="1" t="n">
        <v>44529.42045138889</v>
      </c>
      <c r="C10111" s="1" t="n">
        <v>46011</v>
      </c>
      <c r="D10111" t="inlineStr">
        <is>
          <t>VÄSTRA GÖTALANDS LÄN</t>
        </is>
      </c>
      <c r="E10111" t="inlineStr">
        <is>
          <t>TROLLHÄTTAN</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54810-2025</t>
        </is>
      </c>
      <c r="B10112" s="1" t="n">
        <v>45966.64700231481</v>
      </c>
      <c r="C10112" s="1" t="n">
        <v>46011</v>
      </c>
      <c r="D10112" t="inlineStr">
        <is>
          <t>VÄSTRA GÖTALANDS LÄN</t>
        </is>
      </c>
      <c r="E10112" t="inlineStr">
        <is>
          <t>HERRLJUNGA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54812-2025</t>
        </is>
      </c>
      <c r="B10113" s="1" t="n">
        <v>45966.64835648148</v>
      </c>
      <c r="C10113" s="1" t="n">
        <v>46011</v>
      </c>
      <c r="D10113" t="inlineStr">
        <is>
          <t>VÄSTRA GÖTALANDS LÄN</t>
        </is>
      </c>
      <c r="E10113" t="inlineStr">
        <is>
          <t>HERRLJUNGA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28449-2023</t>
        </is>
      </c>
      <c r="B10114" s="1" t="n">
        <v>45103</v>
      </c>
      <c r="C10114" s="1" t="n">
        <v>46011</v>
      </c>
      <c r="D10114" t="inlineStr">
        <is>
          <t>VÄSTRA GÖTALANDS LÄN</t>
        </is>
      </c>
      <c r="E10114" t="inlineStr">
        <is>
          <t>DALS-ED</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58266-2022</t>
        </is>
      </c>
      <c r="B10115" s="1" t="n">
        <v>44901</v>
      </c>
      <c r="C10115" s="1" t="n">
        <v>46011</v>
      </c>
      <c r="D10115" t="inlineStr">
        <is>
          <t>VÄSTRA GÖTALANDS LÄN</t>
        </is>
      </c>
      <c r="E10115" t="inlineStr">
        <is>
          <t>ÅMÅL</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4997-2023</t>
        </is>
      </c>
      <c r="B10116" s="1" t="n">
        <v>44958.48202546296</v>
      </c>
      <c r="C10116" s="1" t="n">
        <v>46011</v>
      </c>
      <c r="D10116" t="inlineStr">
        <is>
          <t>VÄSTRA GÖTALANDS LÄN</t>
        </is>
      </c>
      <c r="E10116" t="inlineStr">
        <is>
          <t>SVENLJUNGA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5016-2023</t>
        </is>
      </c>
      <c r="B10117" s="1" t="n">
        <v>44958.5433912037</v>
      </c>
      <c r="C10117" s="1" t="n">
        <v>46011</v>
      </c>
      <c r="D10117" t="inlineStr">
        <is>
          <t>VÄSTRA GÖTALANDS LÄN</t>
        </is>
      </c>
      <c r="E10117" t="inlineStr">
        <is>
          <t>SVENLJUNGA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5072-2023</t>
        </is>
      </c>
      <c r="B10118" s="1" t="n">
        <v>44958.60896990741</v>
      </c>
      <c r="C10118" s="1" t="n">
        <v>46011</v>
      </c>
      <c r="D10118" t="inlineStr">
        <is>
          <t>VÄSTRA GÖTALANDS LÄN</t>
        </is>
      </c>
      <c r="E10118" t="inlineStr">
        <is>
          <t>BOLLEBYGD</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54467-2025</t>
        </is>
      </c>
      <c r="B10119" s="1" t="n">
        <v>45965.5700462963</v>
      </c>
      <c r="C10119" s="1" t="n">
        <v>46011</v>
      </c>
      <c r="D10119" t="inlineStr">
        <is>
          <t>VÄSTRA GÖTALANDS LÄN</t>
        </is>
      </c>
      <c r="E10119" t="inlineStr">
        <is>
          <t>VÄNERSBORG</t>
        </is>
      </c>
      <c r="G10119" t="n">
        <v>13.4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54407-2025</t>
        </is>
      </c>
      <c r="B10120" s="1" t="n">
        <v>45965.4577662037</v>
      </c>
      <c r="C10120" s="1" t="n">
        <v>46011</v>
      </c>
      <c r="D10120" t="inlineStr">
        <is>
          <t>VÄSTRA GÖTALANDS LÄN</t>
        </is>
      </c>
      <c r="E10120" t="inlineStr">
        <is>
          <t>MARK</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54410-2025</t>
        </is>
      </c>
      <c r="B10121" s="1" t="n">
        <v>45965</v>
      </c>
      <c r="C10121" s="1" t="n">
        <v>46011</v>
      </c>
      <c r="D10121" t="inlineStr">
        <is>
          <t>VÄSTRA GÖTALANDS LÄN</t>
        </is>
      </c>
      <c r="E10121" t="inlineStr">
        <is>
          <t>FÄRGELANDA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29791-2023</t>
        </is>
      </c>
      <c r="B10122" s="1" t="n">
        <v>45107.52193287037</v>
      </c>
      <c r="C10122" s="1" t="n">
        <v>46011</v>
      </c>
      <c r="D10122" t="inlineStr">
        <is>
          <t>VÄSTRA GÖTALANDS LÄN</t>
        </is>
      </c>
      <c r="E10122" t="inlineStr">
        <is>
          <t>BENGTSFORS</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7947-2024</t>
        </is>
      </c>
      <c r="B10123" s="1" t="n">
        <v>45350</v>
      </c>
      <c r="C10123" s="1" t="n">
        <v>46011</v>
      </c>
      <c r="D10123" t="inlineStr">
        <is>
          <t>VÄSTRA GÖTALANDS LÄN</t>
        </is>
      </c>
      <c r="E10123" t="inlineStr">
        <is>
          <t>LILLA EDET</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63319-2021</t>
        </is>
      </c>
      <c r="B10124" s="1" t="n">
        <v>44508.45226851852</v>
      </c>
      <c r="C10124" s="1" t="n">
        <v>46011</v>
      </c>
      <c r="D10124" t="inlineStr">
        <is>
          <t>VÄSTRA GÖTALANDS LÄN</t>
        </is>
      </c>
      <c r="E10124" t="inlineStr">
        <is>
          <t>KUNGÄLV</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54491-2025</t>
        </is>
      </c>
      <c r="B10125" s="1" t="n">
        <v>45965.59797453704</v>
      </c>
      <c r="C10125" s="1" t="n">
        <v>46011</v>
      </c>
      <c r="D10125" t="inlineStr">
        <is>
          <t>VÄSTRA GÖTALANDS LÄN</t>
        </is>
      </c>
      <c r="E10125" t="inlineStr">
        <is>
          <t>UDDEVALLA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14067-2024</t>
        </is>
      </c>
      <c r="B10126" s="1" t="n">
        <v>45392.56983796296</v>
      </c>
      <c r="C10126" s="1" t="n">
        <v>46011</v>
      </c>
      <c r="D10126" t="inlineStr">
        <is>
          <t>VÄSTRA GÖTALANDS LÄN</t>
        </is>
      </c>
      <c r="E10126" t="inlineStr">
        <is>
          <t>LERUM</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62435-2025</t>
        </is>
      </c>
      <c r="B10127" s="1" t="n">
        <v>46007.4637962963</v>
      </c>
      <c r="C10127" s="1" t="n">
        <v>46011</v>
      </c>
      <c r="D10127" t="inlineStr">
        <is>
          <t>VÄSTRA GÖTALANDS LÄN</t>
        </is>
      </c>
      <c r="E10127" t="inlineStr">
        <is>
          <t>FÄRGELANDA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62439-2025</t>
        </is>
      </c>
      <c r="B10128" s="1" t="n">
        <v>46007.46944444445</v>
      </c>
      <c r="C10128" s="1" t="n">
        <v>46011</v>
      </c>
      <c r="D10128" t="inlineStr">
        <is>
          <t>VÄSTRA GÖTALANDS LÄN</t>
        </is>
      </c>
      <c r="E10128" t="inlineStr">
        <is>
          <t>VÄNERSBORG</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62747-2025</t>
        </is>
      </c>
      <c r="B10129" s="1" t="n">
        <v>46008.57900462963</v>
      </c>
      <c r="C10129" s="1" t="n">
        <v>46011</v>
      </c>
      <c r="D10129" t="inlineStr">
        <is>
          <t>VÄSTRA GÖTALANDS LÄN</t>
        </is>
      </c>
      <c r="E10129" t="inlineStr">
        <is>
          <t>LERUM</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62755-2025</t>
        </is>
      </c>
      <c r="B10130" s="1" t="n">
        <v>46008.58908564815</v>
      </c>
      <c r="C10130" s="1" t="n">
        <v>46011</v>
      </c>
      <c r="D10130" t="inlineStr">
        <is>
          <t>VÄSTRA GÖTALANDS LÄN</t>
        </is>
      </c>
      <c r="E10130" t="inlineStr">
        <is>
          <t>LERUM</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3355-2023</t>
        </is>
      </c>
      <c r="B10131" s="1" t="n">
        <v>44949.47299768519</v>
      </c>
      <c r="C10131" s="1" t="n">
        <v>46011</v>
      </c>
      <c r="D10131" t="inlineStr">
        <is>
          <t>VÄSTRA GÖTALANDS LÄN</t>
        </is>
      </c>
      <c r="E10131" t="inlineStr">
        <is>
          <t>ALINGSÅS</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62737-2025</t>
        </is>
      </c>
      <c r="B10132" s="1" t="n">
        <v>46008.57259259259</v>
      </c>
      <c r="C10132" s="1" t="n">
        <v>46011</v>
      </c>
      <c r="D10132" t="inlineStr">
        <is>
          <t>VÄSTRA GÖTALANDS LÄN</t>
        </is>
      </c>
      <c r="E10132" t="inlineStr">
        <is>
          <t>ESSUNGA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22386-2024</t>
        </is>
      </c>
      <c r="B10133" s="1" t="n">
        <v>45446.66300925926</v>
      </c>
      <c r="C10133" s="1" t="n">
        <v>46011</v>
      </c>
      <c r="D10133" t="inlineStr">
        <is>
          <t>VÄSTRA GÖTALANDS LÄN</t>
        </is>
      </c>
      <c r="E10133" t="inlineStr">
        <is>
          <t>VÅRGÅRDA</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196-2024</t>
        </is>
      </c>
      <c r="B10134" s="1" t="n">
        <v>45294</v>
      </c>
      <c r="C10134" s="1" t="n">
        <v>46011</v>
      </c>
      <c r="D10134" t="inlineStr">
        <is>
          <t>VÄSTRA GÖTALANDS LÄN</t>
        </is>
      </c>
      <c r="E10134" t="inlineStr">
        <is>
          <t>BORÅS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61986-2025</t>
        </is>
      </c>
      <c r="B10135" s="1" t="n">
        <v>46003</v>
      </c>
      <c r="C10135" s="1" t="n">
        <v>46011</v>
      </c>
      <c r="D10135" t="inlineStr">
        <is>
          <t>VÄSTRA GÖTALANDS LÄN</t>
        </is>
      </c>
      <c r="E10135" t="inlineStr">
        <is>
          <t>FALKÖPING</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4422-2024</t>
        </is>
      </c>
      <c r="B10136" s="1" t="n">
        <v>45327.45375</v>
      </c>
      <c r="C10136" s="1" t="n">
        <v>46011</v>
      </c>
      <c r="D10136" t="inlineStr">
        <is>
          <t>VÄSTRA GÖTALANDS LÄN</t>
        </is>
      </c>
      <c r="E10136" t="inlineStr">
        <is>
          <t>SOTENÄS</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62477-2025</t>
        </is>
      </c>
      <c r="B10137" s="1" t="n">
        <v>46007.55395833333</v>
      </c>
      <c r="C10137" s="1" t="n">
        <v>46011</v>
      </c>
      <c r="D10137" t="inlineStr">
        <is>
          <t>VÄSTRA GÖTALANDS LÄN</t>
        </is>
      </c>
      <c r="E10137" t="inlineStr">
        <is>
          <t>GRÄSTORP</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62481-2025</t>
        </is>
      </c>
      <c r="B10138" s="1" t="n">
        <v>46007</v>
      </c>
      <c r="C10138" s="1" t="n">
        <v>46011</v>
      </c>
      <c r="D10138" t="inlineStr">
        <is>
          <t>VÄSTRA GÖTALANDS LÄN</t>
        </is>
      </c>
      <c r="E10138" t="inlineStr">
        <is>
          <t>ÅMÅL</t>
        </is>
      </c>
      <c r="F10138" t="inlineStr">
        <is>
          <t>Bergvik skog väst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226-2024</t>
        </is>
      </c>
      <c r="B10139" s="1" t="n">
        <v>45293</v>
      </c>
      <c r="C10139" s="1" t="n">
        <v>46011</v>
      </c>
      <c r="D10139" t="inlineStr">
        <is>
          <t>VÄSTRA GÖTALANDS LÄN</t>
        </is>
      </c>
      <c r="E10139" t="inlineStr">
        <is>
          <t>TANUM</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62666-2025</t>
        </is>
      </c>
      <c r="B10140" s="1" t="n">
        <v>46008.43722222222</v>
      </c>
      <c r="C10140" s="1" t="n">
        <v>46011</v>
      </c>
      <c r="D10140" t="inlineStr">
        <is>
          <t>VÄSTRA GÖTALANDS LÄN</t>
        </is>
      </c>
      <c r="E10140" t="inlineStr">
        <is>
          <t>BENGTSFORS</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59004-2021</t>
        </is>
      </c>
      <c r="B10141" s="1" t="n">
        <v>44489</v>
      </c>
      <c r="C10141" s="1" t="n">
        <v>46011</v>
      </c>
      <c r="D10141" t="inlineStr">
        <is>
          <t>VÄSTRA GÖTALANDS LÄN</t>
        </is>
      </c>
      <c r="E10141" t="inlineStr">
        <is>
          <t>MARK</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62643-2025</t>
        </is>
      </c>
      <c r="B10142" s="1" t="n">
        <v>46008.37989583334</v>
      </c>
      <c r="C10142" s="1" t="n">
        <v>46011</v>
      </c>
      <c r="D10142" t="inlineStr">
        <is>
          <t>VÄSTRA GÖTALANDS LÄN</t>
        </is>
      </c>
      <c r="E10142" t="inlineStr">
        <is>
          <t>SKARA</t>
        </is>
      </c>
      <c r="F10142" t="inlineStr">
        <is>
          <t>Kommuner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62645-2025</t>
        </is>
      </c>
      <c r="B10143" s="1" t="n">
        <v>46008.39219907407</v>
      </c>
      <c r="C10143" s="1" t="n">
        <v>46011</v>
      </c>
      <c r="D10143" t="inlineStr">
        <is>
          <t>VÄSTRA GÖTALANDS LÄN</t>
        </is>
      </c>
      <c r="E10143" t="inlineStr">
        <is>
          <t>BORÅS</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30770-2023</t>
        </is>
      </c>
      <c r="B10144" s="1" t="n">
        <v>45112.68491898148</v>
      </c>
      <c r="C10144" s="1" t="n">
        <v>46011</v>
      </c>
      <c r="D10144" t="inlineStr">
        <is>
          <t>VÄSTRA GÖTALANDS LÄN</t>
        </is>
      </c>
      <c r="E10144" t="inlineStr">
        <is>
          <t>ULRICEHAMN</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32672-2023</t>
        </is>
      </c>
      <c r="B10145" s="1" t="n">
        <v>45121</v>
      </c>
      <c r="C10145" s="1" t="n">
        <v>46011</v>
      </c>
      <c r="D10145" t="inlineStr">
        <is>
          <t>VÄSTRA GÖTALANDS LÄN</t>
        </is>
      </c>
      <c r="E10145" t="inlineStr">
        <is>
          <t>DALS-ED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62840-2025</t>
        </is>
      </c>
      <c r="B10146" s="1" t="n">
        <v>46008.68878472222</v>
      </c>
      <c r="C10146" s="1" t="n">
        <v>46011</v>
      </c>
      <c r="D10146" t="inlineStr">
        <is>
          <t>VÄSTRA GÖTALANDS LÄN</t>
        </is>
      </c>
      <c r="E10146" t="inlineStr">
        <is>
          <t>TANUM</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62736-2025</t>
        </is>
      </c>
      <c r="B10147" s="1" t="n">
        <v>46008.56954861111</v>
      </c>
      <c r="C10147" s="1" t="n">
        <v>46011</v>
      </c>
      <c r="D10147" t="inlineStr">
        <is>
          <t>VÄSTRA GÖTALANDS LÄN</t>
        </is>
      </c>
      <c r="E10147" t="inlineStr">
        <is>
          <t>LERUM</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64506-2023</t>
        </is>
      </c>
      <c r="B10148" s="1" t="n">
        <v>45280.97847222222</v>
      </c>
      <c r="C10148" s="1" t="n">
        <v>46011</v>
      </c>
      <c r="D10148" t="inlineStr">
        <is>
          <t>VÄSTRA GÖTALANDS LÄN</t>
        </is>
      </c>
      <c r="E10148" t="inlineStr">
        <is>
          <t>LIDKÖPING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54437-2025</t>
        </is>
      </c>
      <c r="B10149" s="1" t="n">
        <v>45965.50280092593</v>
      </c>
      <c r="C10149" s="1" t="n">
        <v>46011</v>
      </c>
      <c r="D10149" t="inlineStr">
        <is>
          <t>VÄSTRA GÖTALANDS LÄN</t>
        </is>
      </c>
      <c r="E10149" t="inlineStr">
        <is>
          <t>TIDAHOLM</t>
        </is>
      </c>
      <c r="F10149" t="inlineStr">
        <is>
          <t>Sveaskog</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54454-2025</t>
        </is>
      </c>
      <c r="B10150" s="1" t="n">
        <v>45965.55086805556</v>
      </c>
      <c r="C10150" s="1" t="n">
        <v>46011</v>
      </c>
      <c r="D10150" t="inlineStr">
        <is>
          <t>VÄSTRA GÖTALANDS LÄN</t>
        </is>
      </c>
      <c r="E10150" t="inlineStr">
        <is>
          <t>KARLSBORG</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63397-2021</t>
        </is>
      </c>
      <c r="B10151" s="1" t="n">
        <v>44508.54208333333</v>
      </c>
      <c r="C10151" s="1" t="n">
        <v>46011</v>
      </c>
      <c r="D10151" t="inlineStr">
        <is>
          <t>VÄSTRA GÖTALANDS LÄN</t>
        </is>
      </c>
      <c r="E10151" t="inlineStr">
        <is>
          <t>UDDEVALLA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72456-2021</t>
        </is>
      </c>
      <c r="B10152" s="1" t="n">
        <v>44545.71697916667</v>
      </c>
      <c r="C10152" s="1" t="n">
        <v>46011</v>
      </c>
      <c r="D10152" t="inlineStr">
        <is>
          <t>VÄSTRA GÖTALANDS LÄN</t>
        </is>
      </c>
      <c r="E10152" t="inlineStr">
        <is>
          <t>DALS-ED</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62768-2025</t>
        </is>
      </c>
      <c r="B10153" s="1" t="n">
        <v>46008.59856481481</v>
      </c>
      <c r="C10153" s="1" t="n">
        <v>46011</v>
      </c>
      <c r="D10153" t="inlineStr">
        <is>
          <t>VÄSTRA GÖTALANDS LÄN</t>
        </is>
      </c>
      <c r="E10153" t="inlineStr">
        <is>
          <t>MÖLNDAL</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64516-2021</t>
        </is>
      </c>
      <c r="B10154" s="1" t="n">
        <v>44511.61333333333</v>
      </c>
      <c r="C10154" s="1" t="n">
        <v>46011</v>
      </c>
      <c r="D10154" t="inlineStr">
        <is>
          <t>VÄSTRA GÖTALANDS LÄN</t>
        </is>
      </c>
      <c r="E10154" t="inlineStr">
        <is>
          <t>HERRLJUNGA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57904-2021</t>
        </is>
      </c>
      <c r="B10155" s="1" t="n">
        <v>44486.73458333333</v>
      </c>
      <c r="C10155" s="1" t="n">
        <v>46011</v>
      </c>
      <c r="D10155" t="inlineStr">
        <is>
          <t>VÄSTRA GÖTALANDS LÄN</t>
        </is>
      </c>
      <c r="E10155" t="inlineStr">
        <is>
          <t>SVENLJUNGA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62365-2025</t>
        </is>
      </c>
      <c r="B10156" s="1" t="n">
        <v>46007.3280787037</v>
      </c>
      <c r="C10156" s="1" t="n">
        <v>46011</v>
      </c>
      <c r="D10156" t="inlineStr">
        <is>
          <t>VÄSTRA GÖTALANDS LÄN</t>
        </is>
      </c>
      <c r="E10156" t="inlineStr">
        <is>
          <t>UDDEVALLA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29854-2023</t>
        </is>
      </c>
      <c r="B10157" s="1" t="n">
        <v>45099</v>
      </c>
      <c r="C10157" s="1" t="n">
        <v>46011</v>
      </c>
      <c r="D10157" t="inlineStr">
        <is>
          <t>VÄSTRA GÖTALANDS LÄN</t>
        </is>
      </c>
      <c r="E10157" t="inlineStr">
        <is>
          <t>BORÅS</t>
        </is>
      </c>
      <c r="F10157" t="inlineStr">
        <is>
          <t>Kommuner</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62373-2021</t>
        </is>
      </c>
      <c r="B10158" s="1" t="n">
        <v>44503.46652777777</v>
      </c>
      <c r="C10158" s="1" t="n">
        <v>46011</v>
      </c>
      <c r="D10158" t="inlineStr">
        <is>
          <t>VÄSTRA GÖTALANDS LÄN</t>
        </is>
      </c>
      <c r="E10158" t="inlineStr">
        <is>
          <t>ESSUNGA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61282-2025</t>
        </is>
      </c>
      <c r="B10159" s="1" t="n">
        <v>46000</v>
      </c>
      <c r="C10159" s="1" t="n">
        <v>46011</v>
      </c>
      <c r="D10159" t="inlineStr">
        <is>
          <t>VÄSTRA GÖTALANDS LÄN</t>
        </is>
      </c>
      <c r="E10159" t="inlineStr">
        <is>
          <t>MARK</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23854-2023</t>
        </is>
      </c>
      <c r="B10160" s="1" t="n">
        <v>45075</v>
      </c>
      <c r="C10160" s="1" t="n">
        <v>46011</v>
      </c>
      <c r="D10160" t="inlineStr">
        <is>
          <t>VÄSTRA GÖTALANDS LÄN</t>
        </is>
      </c>
      <c r="E10160" t="inlineStr">
        <is>
          <t>ULRICEHAMN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23859-2023</t>
        </is>
      </c>
      <c r="B10161" s="1" t="n">
        <v>45075</v>
      </c>
      <c r="C10161" s="1" t="n">
        <v>46011</v>
      </c>
      <c r="D10161" t="inlineStr">
        <is>
          <t>VÄSTRA GÖTALANDS LÄN</t>
        </is>
      </c>
      <c r="E10161" t="inlineStr">
        <is>
          <t>DALS-ED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62633-2025</t>
        </is>
      </c>
      <c r="B10162" s="1" t="n">
        <v>46008.36337962963</v>
      </c>
      <c r="C10162" s="1" t="n">
        <v>46011</v>
      </c>
      <c r="D10162" t="inlineStr">
        <is>
          <t>VÄSTRA GÖTALANDS LÄN</t>
        </is>
      </c>
      <c r="E10162" t="inlineStr">
        <is>
          <t>MARIESTAD</t>
        </is>
      </c>
      <c r="F10162" t="inlineStr">
        <is>
          <t>Kyrkan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62757-2025</t>
        </is>
      </c>
      <c r="B10163" s="1" t="n">
        <v>46008.59184027778</v>
      </c>
      <c r="C10163" s="1" t="n">
        <v>46011</v>
      </c>
      <c r="D10163" t="inlineStr">
        <is>
          <t>VÄSTRA GÖTALANDS LÄN</t>
        </is>
      </c>
      <c r="E10163" t="inlineStr">
        <is>
          <t>LERUM</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39001-2024</t>
        </is>
      </c>
      <c r="B10164" s="1" t="n">
        <v>45548.42012731481</v>
      </c>
      <c r="C10164" s="1" t="n">
        <v>46011</v>
      </c>
      <c r="D10164" t="inlineStr">
        <is>
          <t>VÄSTRA GÖTALANDS LÄN</t>
        </is>
      </c>
      <c r="E10164" t="inlineStr">
        <is>
          <t>STRÖMSTAD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6374-2023</t>
        </is>
      </c>
      <c r="B10165" s="1" t="n">
        <v>44965.62028935185</v>
      </c>
      <c r="C10165" s="1" t="n">
        <v>46011</v>
      </c>
      <c r="D10165" t="inlineStr">
        <is>
          <t>VÄSTRA GÖTALANDS LÄN</t>
        </is>
      </c>
      <c r="E10165" t="inlineStr">
        <is>
          <t>GULLSPÅNG</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54644-2025</t>
        </is>
      </c>
      <c r="B10166" s="1" t="n">
        <v>45966.37148148148</v>
      </c>
      <c r="C10166" s="1" t="n">
        <v>46011</v>
      </c>
      <c r="D10166" t="inlineStr">
        <is>
          <t>VÄSTRA GÖTALANDS LÄN</t>
        </is>
      </c>
      <c r="E10166" t="inlineStr">
        <is>
          <t>ALINGSÅS</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49332-2024</t>
        </is>
      </c>
      <c r="B10167" s="1" t="n">
        <v>45595.58311342593</v>
      </c>
      <c r="C10167" s="1" t="n">
        <v>46011</v>
      </c>
      <c r="D10167" t="inlineStr">
        <is>
          <t>VÄSTRA GÖTALANDS LÄN</t>
        </is>
      </c>
      <c r="E10167" t="inlineStr">
        <is>
          <t>FALKÖPING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54679-2025</t>
        </is>
      </c>
      <c r="B10168" s="1" t="n">
        <v>45966.42574074074</v>
      </c>
      <c r="C10168" s="1" t="n">
        <v>46011</v>
      </c>
      <c r="D10168" t="inlineStr">
        <is>
          <t>VÄSTRA GÖTALANDS LÄN</t>
        </is>
      </c>
      <c r="E10168" t="inlineStr">
        <is>
          <t>DALS-ED</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54526-2025</t>
        </is>
      </c>
      <c r="B10169" s="1" t="n">
        <v>45965.63171296296</v>
      </c>
      <c r="C10169" s="1" t="n">
        <v>46011</v>
      </c>
      <c r="D10169" t="inlineStr">
        <is>
          <t>VÄSTRA GÖTALANDS LÄN</t>
        </is>
      </c>
      <c r="E10169" t="inlineStr">
        <is>
          <t>TROLLHÄTTAN</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62828-2025</t>
        </is>
      </c>
      <c r="B10170" s="1" t="n">
        <v>46008.66553240741</v>
      </c>
      <c r="C10170" s="1" t="n">
        <v>46011</v>
      </c>
      <c r="D10170" t="inlineStr">
        <is>
          <t>VÄSTRA GÖTALANDS LÄN</t>
        </is>
      </c>
      <c r="E10170" t="inlineStr">
        <is>
          <t>ALE</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59242-2025</t>
        </is>
      </c>
      <c r="B10171" s="1" t="n">
        <v>45988</v>
      </c>
      <c r="C10171" s="1" t="n">
        <v>46011</v>
      </c>
      <c r="D10171" t="inlineStr">
        <is>
          <t>VÄSTRA GÖTALANDS LÄN</t>
        </is>
      </c>
      <c r="E10171" t="inlineStr">
        <is>
          <t>UDDEVALLA</t>
        </is>
      </c>
      <c r="G10171" t="n">
        <v>30.7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54686-2025</t>
        </is>
      </c>
      <c r="B10172" s="1" t="n">
        <v>45966.44347222222</v>
      </c>
      <c r="C10172" s="1" t="n">
        <v>46011</v>
      </c>
      <c r="D10172" t="inlineStr">
        <is>
          <t>VÄSTRA GÖTALANDS LÄN</t>
        </is>
      </c>
      <c r="E10172" t="inlineStr">
        <is>
          <t>DALS-ED</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390-2025</t>
        </is>
      </c>
      <c r="B10173" s="1" t="n">
        <v>45662.793125</v>
      </c>
      <c r="C10173" s="1" t="n">
        <v>46011</v>
      </c>
      <c r="D10173" t="inlineStr">
        <is>
          <t>VÄSTRA GÖTALANDS LÄN</t>
        </is>
      </c>
      <c r="E10173" t="inlineStr">
        <is>
          <t>TRANEMO</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399-2025</t>
        </is>
      </c>
      <c r="B10174" s="1" t="n">
        <v>45663</v>
      </c>
      <c r="C10174" s="1" t="n">
        <v>46011</v>
      </c>
      <c r="D10174" t="inlineStr">
        <is>
          <t>VÄSTRA GÖTALANDS LÄN</t>
        </is>
      </c>
      <c r="E10174" t="inlineStr">
        <is>
          <t>ULRICEHAMN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57219-2023</t>
        </is>
      </c>
      <c r="B10175" s="1" t="n">
        <v>45245</v>
      </c>
      <c r="C10175" s="1" t="n">
        <v>46011</v>
      </c>
      <c r="D10175" t="inlineStr">
        <is>
          <t>VÄSTRA GÖTALANDS LÄN</t>
        </is>
      </c>
      <c r="E10175" t="inlineStr">
        <is>
          <t>SVENLJUNGA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62501-2025</t>
        </is>
      </c>
      <c r="B10176" s="1" t="n">
        <v>46007.58696759259</v>
      </c>
      <c r="C10176" s="1" t="n">
        <v>46011</v>
      </c>
      <c r="D10176" t="inlineStr">
        <is>
          <t>VÄSTRA GÖTALANDS LÄN</t>
        </is>
      </c>
      <c r="E10176" t="inlineStr">
        <is>
          <t>BENGTSFORS</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61236-2024</t>
        </is>
      </c>
      <c r="B10177" s="1" t="n">
        <v>45645.6778125</v>
      </c>
      <c r="C10177" s="1" t="n">
        <v>46011</v>
      </c>
      <c r="D10177" t="inlineStr">
        <is>
          <t>VÄSTRA GÖTALANDS LÄN</t>
        </is>
      </c>
      <c r="E10177" t="inlineStr">
        <is>
          <t>TANUM</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61241-2024</t>
        </is>
      </c>
      <c r="B10178" s="1" t="n">
        <v>45645.68386574074</v>
      </c>
      <c r="C10178" s="1" t="n">
        <v>46011</v>
      </c>
      <c r="D10178" t="inlineStr">
        <is>
          <t>VÄSTRA GÖTALANDS LÄN</t>
        </is>
      </c>
      <c r="E10178" t="inlineStr">
        <is>
          <t>TANUM</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61266-2024</t>
        </is>
      </c>
      <c r="B10179" s="1" t="n">
        <v>45645.73471064815</v>
      </c>
      <c r="C10179" s="1" t="n">
        <v>46011</v>
      </c>
      <c r="D10179" t="inlineStr">
        <is>
          <t>VÄSTRA GÖTALANDS LÄN</t>
        </is>
      </c>
      <c r="E10179" t="inlineStr">
        <is>
          <t>FALKÖPING</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54757-2025</t>
        </is>
      </c>
      <c r="B10180" s="1" t="n">
        <v>45966</v>
      </c>
      <c r="C10180" s="1" t="n">
        <v>46011</v>
      </c>
      <c r="D10180" t="inlineStr">
        <is>
          <t>VÄSTRA GÖTALANDS LÄN</t>
        </is>
      </c>
      <c r="E10180" t="inlineStr">
        <is>
          <t>GÖTENE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54783-2025</t>
        </is>
      </c>
      <c r="B10181" s="1" t="n">
        <v>45966.61938657407</v>
      </c>
      <c r="C10181" s="1" t="n">
        <v>46011</v>
      </c>
      <c r="D10181" t="inlineStr">
        <is>
          <t>VÄSTRA GÖTALANDS LÄN</t>
        </is>
      </c>
      <c r="E10181" t="inlineStr">
        <is>
          <t>BOLLEBYGD</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54808-2025</t>
        </is>
      </c>
      <c r="B10182" s="1" t="n">
        <v>45966.64509259259</v>
      </c>
      <c r="C10182" s="1" t="n">
        <v>46011</v>
      </c>
      <c r="D10182" t="inlineStr">
        <is>
          <t>VÄSTRA GÖTALANDS LÄN</t>
        </is>
      </c>
      <c r="E10182" t="inlineStr">
        <is>
          <t>TRANEMO</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54826-2025</t>
        </is>
      </c>
      <c r="B10183" s="1" t="n">
        <v>45966.66918981481</v>
      </c>
      <c r="C10183" s="1" t="n">
        <v>46011</v>
      </c>
      <c r="D10183" t="inlineStr">
        <is>
          <t>VÄSTRA GÖTALANDS LÄN</t>
        </is>
      </c>
      <c r="E10183" t="inlineStr">
        <is>
          <t>LIDKÖPING</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5415-2021</t>
        </is>
      </c>
      <c r="B10184" s="1" t="n">
        <v>44228</v>
      </c>
      <c r="C10184" s="1" t="n">
        <v>46011</v>
      </c>
      <c r="D10184" t="inlineStr">
        <is>
          <t>VÄSTRA GÖTALANDS LÄN</t>
        </is>
      </c>
      <c r="E10184" t="inlineStr">
        <is>
          <t>TANUM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51887-2025</t>
        </is>
      </c>
      <c r="B10185" s="1" t="n">
        <v>45952</v>
      </c>
      <c r="C10185" s="1" t="n">
        <v>46011</v>
      </c>
      <c r="D10185" t="inlineStr">
        <is>
          <t>VÄSTRA GÖTALANDS LÄN</t>
        </is>
      </c>
      <c r="E10185" t="inlineStr">
        <is>
          <t>VÅRGÅRDA</t>
        </is>
      </c>
      <c r="G10185" t="n">
        <v>10.6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59569-2022</t>
        </is>
      </c>
      <c r="B10186" s="1" t="n">
        <v>44907.60907407408</v>
      </c>
      <c r="C10186" s="1" t="n">
        <v>46011</v>
      </c>
      <c r="D10186" t="inlineStr">
        <is>
          <t>VÄSTRA GÖTALANDS LÄN</t>
        </is>
      </c>
      <c r="E10186" t="inlineStr">
        <is>
          <t>GRÄSTORP</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61283-2025</t>
        </is>
      </c>
      <c r="B10187" s="1" t="n">
        <v>46000</v>
      </c>
      <c r="C10187" s="1" t="n">
        <v>46011</v>
      </c>
      <c r="D10187" t="inlineStr">
        <is>
          <t>VÄSTRA GÖTALANDS LÄN</t>
        </is>
      </c>
      <c r="E10187" t="inlineStr">
        <is>
          <t>MARK</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2791-2023</t>
        </is>
      </c>
      <c r="B10188" s="1" t="n">
        <v>44944.67371527778</v>
      </c>
      <c r="C10188" s="1" t="n">
        <v>46011</v>
      </c>
      <c r="D10188" t="inlineStr">
        <is>
          <t>VÄSTRA GÖTALANDS LÄN</t>
        </is>
      </c>
      <c r="E10188" t="inlineStr">
        <is>
          <t>KARLSBORG</t>
        </is>
      </c>
      <c r="F10188" t="inlineStr">
        <is>
          <t>Övriga Aktiebolag</t>
        </is>
      </c>
      <c r="G10188" t="n">
        <v>6.4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72566-2021</t>
        </is>
      </c>
      <c r="B10189" s="1" t="n">
        <v>44546.44887731481</v>
      </c>
      <c r="C10189" s="1" t="n">
        <v>46011</v>
      </c>
      <c r="D10189" t="inlineStr">
        <is>
          <t>VÄSTRA GÖTALANDS LÄN</t>
        </is>
      </c>
      <c r="E10189" t="inlineStr">
        <is>
          <t>BORÅS</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64988-2023</t>
        </is>
      </c>
      <c r="B10190" s="1" t="n">
        <v>45285.84443287037</v>
      </c>
      <c r="C10190" s="1" t="n">
        <v>46011</v>
      </c>
      <c r="D10190" t="inlineStr">
        <is>
          <t>VÄSTRA GÖTALANDS LÄN</t>
        </is>
      </c>
      <c r="E10190" t="inlineStr">
        <is>
          <t>MARK</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64992-2023</t>
        </is>
      </c>
      <c r="B10191" s="1" t="n">
        <v>45286</v>
      </c>
      <c r="C10191" s="1" t="n">
        <v>46011</v>
      </c>
      <c r="D10191" t="inlineStr">
        <is>
          <t>VÄSTRA GÖTALANDS LÄN</t>
        </is>
      </c>
      <c r="E10191" t="inlineStr">
        <is>
          <t>STENUNGSUND</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51609-2024</t>
        </is>
      </c>
      <c r="B10192" s="1" t="n">
        <v>45604.68818287037</v>
      </c>
      <c r="C10192" s="1" t="n">
        <v>46011</v>
      </c>
      <c r="D10192" t="inlineStr">
        <is>
          <t>VÄSTRA GÖTALANDS LÄN</t>
        </is>
      </c>
      <c r="E10192" t="inlineStr">
        <is>
          <t>GRÄSTORP</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62483-2025</t>
        </is>
      </c>
      <c r="B10193" s="1" t="n">
        <v>46007</v>
      </c>
      <c r="C10193" s="1" t="n">
        <v>46011</v>
      </c>
      <c r="D10193" t="inlineStr">
        <is>
          <t>VÄSTRA GÖTALANDS LÄN</t>
        </is>
      </c>
      <c r="E10193" t="inlineStr">
        <is>
          <t>ÅMÅL</t>
        </is>
      </c>
      <c r="F10193" t="inlineStr">
        <is>
          <t>Bergvik skog väst AB</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65118-2023</t>
        </is>
      </c>
      <c r="B10194" s="1" t="n">
        <v>45288</v>
      </c>
      <c r="C10194" s="1" t="n">
        <v>46011</v>
      </c>
      <c r="D10194" t="inlineStr">
        <is>
          <t>VÄSTRA GÖTALANDS LÄN</t>
        </is>
      </c>
      <c r="E10194" t="inlineStr">
        <is>
          <t>BOLLEBYGD</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65121-2023</t>
        </is>
      </c>
      <c r="B10195" s="1" t="n">
        <v>45288</v>
      </c>
      <c r="C10195" s="1" t="n">
        <v>46011</v>
      </c>
      <c r="D10195" t="inlineStr">
        <is>
          <t>VÄSTRA GÖTALANDS LÄN</t>
        </is>
      </c>
      <c r="E10195" t="inlineStr">
        <is>
          <t>MARK</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8621-2024</t>
        </is>
      </c>
      <c r="B10196" s="1" t="n">
        <v>45355.76253472222</v>
      </c>
      <c r="C10196" s="1" t="n">
        <v>46011</v>
      </c>
      <c r="D10196" t="inlineStr">
        <is>
          <t>VÄSTRA GÖTALANDS LÄN</t>
        </is>
      </c>
      <c r="E10196" t="inlineStr">
        <is>
          <t>DALS-ED</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8626-2024</t>
        </is>
      </c>
      <c r="B10197" s="1" t="n">
        <v>45355</v>
      </c>
      <c r="C10197" s="1" t="n">
        <v>46011</v>
      </c>
      <c r="D10197" t="inlineStr">
        <is>
          <t>VÄSTRA GÖTALANDS LÄN</t>
        </is>
      </c>
      <c r="E10197" t="inlineStr">
        <is>
          <t>LIDKÖPING</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9265-2024</t>
        </is>
      </c>
      <c r="B10198" s="1" t="n">
        <v>45358.60878472222</v>
      </c>
      <c r="C10198" s="1" t="n">
        <v>46011</v>
      </c>
      <c r="D10198" t="inlineStr">
        <is>
          <t>VÄSTRA GÖTALANDS LÄN</t>
        </is>
      </c>
      <c r="E10198" t="inlineStr">
        <is>
          <t>MARK</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47624-2021</t>
        </is>
      </c>
      <c r="B10199" s="1" t="n">
        <v>44448</v>
      </c>
      <c r="C10199" s="1" t="n">
        <v>46011</v>
      </c>
      <c r="D10199" t="inlineStr">
        <is>
          <t>VÄSTRA GÖTALANDS LÄN</t>
        </is>
      </c>
      <c r="E10199" t="inlineStr">
        <is>
          <t>BORÅS</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47690-2021</t>
        </is>
      </c>
      <c r="B10200" s="1" t="n">
        <v>44448</v>
      </c>
      <c r="C10200" s="1" t="n">
        <v>46011</v>
      </c>
      <c r="D10200" t="inlineStr">
        <is>
          <t>VÄSTRA GÖTALANDS LÄN</t>
        </is>
      </c>
      <c r="E10200" t="inlineStr">
        <is>
          <t>SVENLJUNGA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46873-2023</t>
        </is>
      </c>
      <c r="B10201" s="1" t="n">
        <v>45200.84795138889</v>
      </c>
      <c r="C10201" s="1" t="n">
        <v>46011</v>
      </c>
      <c r="D10201" t="inlineStr">
        <is>
          <t>VÄSTRA GÖTALANDS LÄN</t>
        </is>
      </c>
      <c r="E10201" t="inlineStr">
        <is>
          <t>MARIESTAD</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60967-2024</t>
        </is>
      </c>
      <c r="B10202" s="1" t="n">
        <v>45645</v>
      </c>
      <c r="C10202" s="1" t="n">
        <v>46011</v>
      </c>
      <c r="D10202" t="inlineStr">
        <is>
          <t>VÄSTRA GÖTALANDS LÄN</t>
        </is>
      </c>
      <c r="E10202" t="inlineStr">
        <is>
          <t>BENGTSFORS</t>
        </is>
      </c>
      <c r="G10202" t="n">
        <v>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54814-2025</t>
        </is>
      </c>
      <c r="B10203" s="1" t="n">
        <v>45966.65212962963</v>
      </c>
      <c r="C10203" s="1" t="n">
        <v>46011</v>
      </c>
      <c r="D10203" t="inlineStr">
        <is>
          <t>VÄSTRA GÖTALANDS LÄN</t>
        </is>
      </c>
      <c r="E10203" t="inlineStr">
        <is>
          <t>ULRICEHAMN</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38983-2024</t>
        </is>
      </c>
      <c r="B10204" s="1" t="n">
        <v>45548.39829861111</v>
      </c>
      <c r="C10204" s="1" t="n">
        <v>46011</v>
      </c>
      <c r="D10204" t="inlineStr">
        <is>
          <t>VÄSTRA GÖTALANDS LÄN</t>
        </is>
      </c>
      <c r="E10204" t="inlineStr">
        <is>
          <t>STRÖMSTAD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26737-2023</t>
        </is>
      </c>
      <c r="B10205" s="1" t="n">
        <v>45093.42945601852</v>
      </c>
      <c r="C10205" s="1" t="n">
        <v>46011</v>
      </c>
      <c r="D10205" t="inlineStr">
        <is>
          <t>VÄSTRA GÖTALANDS LÄN</t>
        </is>
      </c>
      <c r="E10205" t="inlineStr">
        <is>
          <t>SKÖVDE</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52108-2021</t>
        </is>
      </c>
      <c r="B10206" s="1" t="n">
        <v>44463.45494212963</v>
      </c>
      <c r="C10206" s="1" t="n">
        <v>46011</v>
      </c>
      <c r="D10206" t="inlineStr">
        <is>
          <t>VÄSTRA GÖTALANDS LÄN</t>
        </is>
      </c>
      <c r="E10206" t="inlineStr">
        <is>
          <t>SVENLJUNGA</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62143-2025</t>
        </is>
      </c>
      <c r="B10207" s="1" t="n">
        <v>46006</v>
      </c>
      <c r="C10207" s="1" t="n">
        <v>46011</v>
      </c>
      <c r="D10207" t="inlineStr">
        <is>
          <t>VÄSTRA GÖTALANDS LÄN</t>
        </is>
      </c>
      <c r="E10207" t="inlineStr">
        <is>
          <t>FALKÖPING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7791-2023</t>
        </is>
      </c>
      <c r="B10208" s="1" t="n">
        <v>44973</v>
      </c>
      <c r="C10208" s="1" t="n">
        <v>46011</v>
      </c>
      <c r="D10208" t="inlineStr">
        <is>
          <t>VÄSTRA GÖTALANDS LÄN</t>
        </is>
      </c>
      <c r="E10208" t="inlineStr">
        <is>
          <t>TJÖRN</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7807-2023</t>
        </is>
      </c>
      <c r="B10209" s="1" t="n">
        <v>44973</v>
      </c>
      <c r="C10209" s="1" t="n">
        <v>46011</v>
      </c>
      <c r="D10209" t="inlineStr">
        <is>
          <t>VÄSTRA GÖTALANDS LÄN</t>
        </is>
      </c>
      <c r="E10209" t="inlineStr">
        <is>
          <t>ALE</t>
        </is>
      </c>
      <c r="G10209" t="n">
        <v>10.5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59074-2023</t>
        </is>
      </c>
      <c r="B10210" s="1" t="n">
        <v>45252.87451388889</v>
      </c>
      <c r="C10210" s="1" t="n">
        <v>46011</v>
      </c>
      <c r="D10210" t="inlineStr">
        <is>
          <t>VÄSTRA GÖTALANDS LÄN</t>
        </is>
      </c>
      <c r="E10210" t="inlineStr">
        <is>
          <t>GÖTENE</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12385-2024</t>
        </is>
      </c>
      <c r="B10211" s="1" t="n">
        <v>45379.3350462963</v>
      </c>
      <c r="C10211" s="1" t="n">
        <v>46011</v>
      </c>
      <c r="D10211" t="inlineStr">
        <is>
          <t>VÄSTRA GÖTALANDS LÄN</t>
        </is>
      </c>
      <c r="E10211" t="inlineStr">
        <is>
          <t>BORÅS</t>
        </is>
      </c>
      <c r="F10211" t="inlineStr">
        <is>
          <t>Sveaskog</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12388-2024</t>
        </is>
      </c>
      <c r="B10212" s="1" t="n">
        <v>45379.33895833333</v>
      </c>
      <c r="C10212" s="1" t="n">
        <v>46011</v>
      </c>
      <c r="D10212" t="inlineStr">
        <is>
          <t>VÄSTRA GÖTALANDS LÄN</t>
        </is>
      </c>
      <c r="E10212" t="inlineStr">
        <is>
          <t>BORÅS</t>
        </is>
      </c>
      <c r="F10212" t="inlineStr">
        <is>
          <t>Sveaskog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11873-2024</t>
        </is>
      </c>
      <c r="B10213" s="1" t="n">
        <v>45376</v>
      </c>
      <c r="C10213" s="1" t="n">
        <v>46011</v>
      </c>
      <c r="D10213" t="inlineStr">
        <is>
          <t>VÄSTRA GÖTALANDS LÄN</t>
        </is>
      </c>
      <c r="E10213" t="inlineStr">
        <is>
          <t>TRANEMO</t>
        </is>
      </c>
      <c r="F10213" t="inlineStr">
        <is>
          <t>Kyrkan</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55310-2023</t>
        </is>
      </c>
      <c r="B10214" s="1" t="n">
        <v>45237.89079861111</v>
      </c>
      <c r="C10214" s="1" t="n">
        <v>46011</v>
      </c>
      <c r="D10214" t="inlineStr">
        <is>
          <t>VÄSTRA GÖTALANDS LÄN</t>
        </is>
      </c>
      <c r="E10214" t="inlineStr">
        <is>
          <t>FÄRGELANDA</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19416-2025</t>
        </is>
      </c>
      <c r="B10215" s="1" t="n">
        <v>45769.70916666667</v>
      </c>
      <c r="C10215" s="1" t="n">
        <v>46011</v>
      </c>
      <c r="D10215" t="inlineStr">
        <is>
          <t>VÄSTRA GÖTALANDS LÄN</t>
        </is>
      </c>
      <c r="E10215" t="inlineStr">
        <is>
          <t>ULRICEHAMN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10910-2024</t>
        </is>
      </c>
      <c r="B10216" s="1" t="n">
        <v>45370.38751157407</v>
      </c>
      <c r="C10216" s="1" t="n">
        <v>46011</v>
      </c>
      <c r="D10216" t="inlineStr">
        <is>
          <t>VÄSTRA GÖTALANDS LÄN</t>
        </is>
      </c>
      <c r="E10216" t="inlineStr">
        <is>
          <t>MARK</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62769-2025</t>
        </is>
      </c>
      <c r="B10217" s="1" t="n">
        <v>46008.59997685185</v>
      </c>
      <c r="C10217" s="1" t="n">
        <v>46011</v>
      </c>
      <c r="D10217" t="inlineStr">
        <is>
          <t>VÄSTRA GÖTALANDS LÄN</t>
        </is>
      </c>
      <c r="E10217" t="inlineStr">
        <is>
          <t>LERUM</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62779-2025</t>
        </is>
      </c>
      <c r="B10218" s="1" t="n">
        <v>46008.6137037037</v>
      </c>
      <c r="C10218" s="1" t="n">
        <v>46011</v>
      </c>
      <c r="D10218" t="inlineStr">
        <is>
          <t>VÄSTRA GÖTALANDS LÄN</t>
        </is>
      </c>
      <c r="E10218" t="inlineStr">
        <is>
          <t>SKARA</t>
        </is>
      </c>
      <c r="F10218" t="inlineStr">
        <is>
          <t>Kyrkan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54828-2025</t>
        </is>
      </c>
      <c r="B10219" s="1" t="n">
        <v>45966.67394675926</v>
      </c>
      <c r="C10219" s="1" t="n">
        <v>46011</v>
      </c>
      <c r="D10219" t="inlineStr">
        <is>
          <t>VÄSTRA GÖTALANDS LÄN</t>
        </is>
      </c>
      <c r="E10219" t="inlineStr">
        <is>
          <t>MARIESTAD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54837-2025</t>
        </is>
      </c>
      <c r="B10220" s="1" t="n">
        <v>45966.68065972222</v>
      </c>
      <c r="C10220" s="1" t="n">
        <v>46011</v>
      </c>
      <c r="D10220" t="inlineStr">
        <is>
          <t>VÄSTRA GÖTALANDS LÄN</t>
        </is>
      </c>
      <c r="E10220" t="inlineStr">
        <is>
          <t>ULRICEHAMN</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62405-2025</t>
        </is>
      </c>
      <c r="B10221" s="1" t="n">
        <v>46007.42645833334</v>
      </c>
      <c r="C10221" s="1" t="n">
        <v>46011</v>
      </c>
      <c r="D10221" t="inlineStr">
        <is>
          <t>VÄSTRA GÖTALANDS LÄN</t>
        </is>
      </c>
      <c r="E10221" t="inlineStr">
        <is>
          <t>FÄRGELANDA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3989-2023</t>
        </is>
      </c>
      <c r="B10222" s="1" t="n">
        <v>44952</v>
      </c>
      <c r="C10222" s="1" t="n">
        <v>46011</v>
      </c>
      <c r="D10222" t="inlineStr">
        <is>
          <t>VÄSTRA GÖTALANDS LÄN</t>
        </is>
      </c>
      <c r="E10222" t="inlineStr">
        <is>
          <t>MELLERUD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4020-2023</t>
        </is>
      </c>
      <c r="B10223" s="1" t="n">
        <v>44952.54989583333</v>
      </c>
      <c r="C10223" s="1" t="n">
        <v>46011</v>
      </c>
      <c r="D10223" t="inlineStr">
        <is>
          <t>VÄSTRA GÖTALANDS LÄN</t>
        </is>
      </c>
      <c r="E10223" t="inlineStr">
        <is>
          <t>HERRLJUNGA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61362-2022</t>
        </is>
      </c>
      <c r="B10224" s="1" t="n">
        <v>44915.77934027778</v>
      </c>
      <c r="C10224" s="1" t="n">
        <v>46011</v>
      </c>
      <c r="D10224" t="inlineStr">
        <is>
          <t>VÄSTRA GÖTALANDS LÄN</t>
        </is>
      </c>
      <c r="E10224" t="inlineStr">
        <is>
          <t>TIDAHOLM</t>
        </is>
      </c>
      <c r="F10224" t="inlineStr">
        <is>
          <t>Sveaskog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24686-2022</t>
        </is>
      </c>
      <c r="B10225" s="1" t="n">
        <v>44727.70273148148</v>
      </c>
      <c r="C10225" s="1" t="n">
        <v>46011</v>
      </c>
      <c r="D10225" t="inlineStr">
        <is>
          <t>VÄSTRA GÖTALANDS LÄN</t>
        </is>
      </c>
      <c r="E10225" t="inlineStr">
        <is>
          <t>ESSUNGA</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62149-2025</t>
        </is>
      </c>
      <c r="B10226" s="1" t="n">
        <v>46006</v>
      </c>
      <c r="C10226" s="1" t="n">
        <v>46011</v>
      </c>
      <c r="D10226" t="inlineStr">
        <is>
          <t>VÄSTRA GÖTALANDS LÄN</t>
        </is>
      </c>
      <c r="E10226" t="inlineStr">
        <is>
          <t>SVENLJUNGA</t>
        </is>
      </c>
      <c r="F10226" t="inlineStr">
        <is>
          <t>Kommuner</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62404-2025</t>
        </is>
      </c>
      <c r="B10227" s="1" t="n">
        <v>46007</v>
      </c>
      <c r="C10227" s="1" t="n">
        <v>46011</v>
      </c>
      <c r="D10227" t="inlineStr">
        <is>
          <t>VÄSTRA GÖTALANDS LÄN</t>
        </is>
      </c>
      <c r="E10227" t="inlineStr">
        <is>
          <t>MARK</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61085-2025</t>
        </is>
      </c>
      <c r="B10228" s="1" t="n">
        <v>46000</v>
      </c>
      <c r="C10228" s="1" t="n">
        <v>46011</v>
      </c>
      <c r="D10228" t="inlineStr">
        <is>
          <t>VÄSTRA GÖTALANDS LÄN</t>
        </is>
      </c>
      <c r="E10228" t="inlineStr">
        <is>
          <t>HERRLJUNGA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61205-2025</t>
        </is>
      </c>
      <c r="B10229" s="1" t="n">
        <v>46000</v>
      </c>
      <c r="C10229" s="1" t="n">
        <v>46011</v>
      </c>
      <c r="D10229" t="inlineStr">
        <is>
          <t>VÄSTRA GÖTALANDS LÄN</t>
        </is>
      </c>
      <c r="E10229" t="inlineStr">
        <is>
          <t>ALINGSÅS</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56335-2024</t>
        </is>
      </c>
      <c r="B10230" s="1" t="n">
        <v>45624.80724537037</v>
      </c>
      <c r="C10230" s="1" t="n">
        <v>46011</v>
      </c>
      <c r="D10230" t="inlineStr">
        <is>
          <t>VÄSTRA GÖTALANDS LÄN</t>
        </is>
      </c>
      <c r="E10230" t="inlineStr">
        <is>
          <t>BOLLEBYGD</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62426-2025</t>
        </is>
      </c>
      <c r="B10231" s="1" t="n">
        <v>46007.45054398148</v>
      </c>
      <c r="C10231" s="1" t="n">
        <v>46011</v>
      </c>
      <c r="D10231" t="inlineStr">
        <is>
          <t>VÄSTRA GÖTALANDS LÄN</t>
        </is>
      </c>
      <c r="E10231" t="inlineStr">
        <is>
          <t>FÄRGELANDA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62434-2025</t>
        </is>
      </c>
      <c r="B10232" s="1" t="n">
        <v>46007.45995370371</v>
      </c>
      <c r="C10232" s="1" t="n">
        <v>46011</v>
      </c>
      <c r="D10232" t="inlineStr">
        <is>
          <t>VÄSTRA GÖTALANDS LÄN</t>
        </is>
      </c>
      <c r="E10232" t="inlineStr">
        <is>
          <t>MARIESTAD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51783-2023</t>
        </is>
      </c>
      <c r="B10233" s="1" t="n">
        <v>45222</v>
      </c>
      <c r="C10233" s="1" t="n">
        <v>46011</v>
      </c>
      <c r="D10233" t="inlineStr">
        <is>
          <t>VÄSTRA GÖTALANDS LÄN</t>
        </is>
      </c>
      <c r="E10233" t="inlineStr">
        <is>
          <t>MELLERUD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26945-2023</t>
        </is>
      </c>
      <c r="B10234" s="1" t="n">
        <v>45093</v>
      </c>
      <c r="C10234" s="1" t="n">
        <v>46011</v>
      </c>
      <c r="D10234" t="inlineStr">
        <is>
          <t>VÄSTRA GÖTALANDS LÄN</t>
        </is>
      </c>
      <c r="E10234" t="inlineStr">
        <is>
          <t>MARK</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62479-2025</t>
        </is>
      </c>
      <c r="B10235" s="1" t="n">
        <v>46007.55723379629</v>
      </c>
      <c r="C10235" s="1" t="n">
        <v>46011</v>
      </c>
      <c r="D10235" t="inlineStr">
        <is>
          <t>VÄSTRA GÖTALANDS LÄN</t>
        </is>
      </c>
      <c r="E10235" t="inlineStr">
        <is>
          <t>GRÄSTORP</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6913-2023</t>
        </is>
      </c>
      <c r="B10236" s="1" t="n">
        <v>44967</v>
      </c>
      <c r="C10236" s="1" t="n">
        <v>46011</v>
      </c>
      <c r="D10236" t="inlineStr">
        <is>
          <t>VÄSTRA GÖTALANDS LÄN</t>
        </is>
      </c>
      <c r="E10236" t="inlineStr">
        <is>
          <t>LIDKÖPING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61336-2021</t>
        </is>
      </c>
      <c r="B10237" s="1" t="n">
        <v>44498.68288194444</v>
      </c>
      <c r="C10237" s="1" t="n">
        <v>46011</v>
      </c>
      <c r="D10237" t="inlineStr">
        <is>
          <t>VÄSTRA GÖTALANDS LÄN</t>
        </is>
      </c>
      <c r="E10237" t="inlineStr">
        <is>
          <t>MUNKEDAL</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62500-2025</t>
        </is>
      </c>
      <c r="B10238" s="1" t="n">
        <v>46007.58407407408</v>
      </c>
      <c r="C10238" s="1" t="n">
        <v>46011</v>
      </c>
      <c r="D10238" t="inlineStr">
        <is>
          <t>VÄSTRA GÖTALANDS LÄN</t>
        </is>
      </c>
      <c r="E10238" t="inlineStr">
        <is>
          <t>MUNKEDAL</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61284-2025</t>
        </is>
      </c>
      <c r="B10239" s="1" t="n">
        <v>46000</v>
      </c>
      <c r="C10239" s="1" t="n">
        <v>46011</v>
      </c>
      <c r="D10239" t="inlineStr">
        <is>
          <t>VÄSTRA GÖTALANDS LÄN</t>
        </is>
      </c>
      <c r="E10239" t="inlineStr">
        <is>
          <t>MARK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61285-2025</t>
        </is>
      </c>
      <c r="B10240" s="1" t="n">
        <v>46000</v>
      </c>
      <c r="C10240" s="1" t="n">
        <v>46011</v>
      </c>
      <c r="D10240" t="inlineStr">
        <is>
          <t>VÄSTRA GÖTALANDS LÄN</t>
        </is>
      </c>
      <c r="E10240" t="inlineStr">
        <is>
          <t>MARK</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54401-2025</t>
        </is>
      </c>
      <c r="B10241" s="1" t="n">
        <v>45965</v>
      </c>
      <c r="C10241" s="1" t="n">
        <v>46011</v>
      </c>
      <c r="D10241" t="inlineStr">
        <is>
          <t>VÄSTRA GÖTALANDS LÄN</t>
        </is>
      </c>
      <c r="E10241" t="inlineStr">
        <is>
          <t>FÄRGELANDA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32454-2023</t>
        </is>
      </c>
      <c r="B10242" s="1" t="n">
        <v>45120</v>
      </c>
      <c r="C10242" s="1" t="n">
        <v>46011</v>
      </c>
      <c r="D10242" t="inlineStr">
        <is>
          <t>VÄSTRA GÖTALANDS LÄN</t>
        </is>
      </c>
      <c r="E10242" t="inlineStr">
        <is>
          <t>BORÅS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54449-2025</t>
        </is>
      </c>
      <c r="B10243" s="1" t="n">
        <v>45965.54233796296</v>
      </c>
      <c r="C10243" s="1" t="n">
        <v>46011</v>
      </c>
      <c r="D10243" t="inlineStr">
        <is>
          <t>VÄSTRA GÖTALANDS LÄN</t>
        </is>
      </c>
      <c r="E10243" t="inlineStr">
        <is>
          <t>TIBRO</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52425-2024</t>
        </is>
      </c>
      <c r="B10244" s="1" t="n">
        <v>45609.47130787037</v>
      </c>
      <c r="C10244" s="1" t="n">
        <v>46011</v>
      </c>
      <c r="D10244" t="inlineStr">
        <is>
          <t>VÄSTRA GÖTALANDS LÄN</t>
        </is>
      </c>
      <c r="E10244" t="inlineStr">
        <is>
          <t>SVENLJUNGA</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32472-2023</t>
        </is>
      </c>
      <c r="B10245" s="1" t="n">
        <v>45120.93417824074</v>
      </c>
      <c r="C10245" s="1" t="n">
        <v>46011</v>
      </c>
      <c r="D10245" t="inlineStr">
        <is>
          <t>VÄSTRA GÖTALANDS LÄN</t>
        </is>
      </c>
      <c r="E10245" t="inlineStr">
        <is>
          <t>BORÅS</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32482-2023</t>
        </is>
      </c>
      <c r="B10246" s="1" t="n">
        <v>45120</v>
      </c>
      <c r="C10246" s="1" t="n">
        <v>46011</v>
      </c>
      <c r="D10246" t="inlineStr">
        <is>
          <t>VÄSTRA GÖTALANDS LÄN</t>
        </is>
      </c>
      <c r="E10246" t="inlineStr">
        <is>
          <t>BORÅS</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44840-2024</t>
        </is>
      </c>
      <c r="B10247" s="1" t="n">
        <v>45574.71733796296</v>
      </c>
      <c r="C10247" s="1" t="n">
        <v>46011</v>
      </c>
      <c r="D10247" t="inlineStr">
        <is>
          <t>VÄSTRA GÖTALANDS LÄN</t>
        </is>
      </c>
      <c r="E10247" t="inlineStr">
        <is>
          <t>TRANEMO</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44849-2024</t>
        </is>
      </c>
      <c r="B10248" s="1" t="n">
        <v>45574.86268518519</v>
      </c>
      <c r="C10248" s="1" t="n">
        <v>46011</v>
      </c>
      <c r="D10248" t="inlineStr">
        <is>
          <t>VÄSTRA GÖTALANDS LÄN</t>
        </is>
      </c>
      <c r="E10248" t="inlineStr">
        <is>
          <t>LIDKÖPING</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53398-2024</t>
        </is>
      </c>
      <c r="B10249" s="1" t="n">
        <v>45614.48731481482</v>
      </c>
      <c r="C10249" s="1" t="n">
        <v>46011</v>
      </c>
      <c r="D10249" t="inlineStr">
        <is>
          <t>VÄSTRA GÖTALANDS LÄN</t>
        </is>
      </c>
      <c r="E10249" t="inlineStr">
        <is>
          <t>TIDAHOLM</t>
        </is>
      </c>
      <c r="F10249" t="inlineStr">
        <is>
          <t>Sveaskog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62818-2025</t>
        </is>
      </c>
      <c r="B10250" s="1" t="n">
        <v>46008.65475694444</v>
      </c>
      <c r="C10250" s="1" t="n">
        <v>46011</v>
      </c>
      <c r="D10250" t="inlineStr">
        <is>
          <t>VÄSTRA GÖTALANDS LÄN</t>
        </is>
      </c>
      <c r="E10250" t="inlineStr">
        <is>
          <t>ALINGSÅS</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62843-2025</t>
        </is>
      </c>
      <c r="B10251" s="1" t="n">
        <v>46008.69274305556</v>
      </c>
      <c r="C10251" s="1" t="n">
        <v>46011</v>
      </c>
      <c r="D10251" t="inlineStr">
        <is>
          <t>VÄSTRA GÖTALANDS LÄN</t>
        </is>
      </c>
      <c r="E10251" t="inlineStr">
        <is>
          <t>SVENLJUNGA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62844-2025</t>
        </is>
      </c>
      <c r="B10252" s="1" t="n">
        <v>46008.69332175926</v>
      </c>
      <c r="C10252" s="1" t="n">
        <v>46011</v>
      </c>
      <c r="D10252" t="inlineStr">
        <is>
          <t>VÄSTRA GÖTALANDS LÄN</t>
        </is>
      </c>
      <c r="E10252" t="inlineStr">
        <is>
          <t>ÅMÅL</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3398-2023</t>
        </is>
      </c>
      <c r="B10253" s="1" t="n">
        <v>44949</v>
      </c>
      <c r="C10253" s="1" t="n">
        <v>46011</v>
      </c>
      <c r="D10253" t="inlineStr">
        <is>
          <t>VÄSTRA GÖTALANDS LÄN</t>
        </is>
      </c>
      <c r="E10253" t="inlineStr">
        <is>
          <t>DALS-ED</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26938-2023</t>
        </is>
      </c>
      <c r="B10254" s="1" t="n">
        <v>45093</v>
      </c>
      <c r="C10254" s="1" t="n">
        <v>46011</v>
      </c>
      <c r="D10254" t="inlineStr">
        <is>
          <t>VÄSTRA GÖTALANDS LÄN</t>
        </is>
      </c>
      <c r="E10254" t="inlineStr">
        <is>
          <t>MARK</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54643-2025</t>
        </is>
      </c>
      <c r="B10255" s="1" t="n">
        <v>45966.36814814815</v>
      </c>
      <c r="C10255" s="1" t="n">
        <v>46011</v>
      </c>
      <c r="D10255" t="inlineStr">
        <is>
          <t>VÄSTRA GÖTALANDS LÄN</t>
        </is>
      </c>
      <c r="E10255" t="inlineStr">
        <is>
          <t>ALINGSÅS</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62514-2025</t>
        </is>
      </c>
      <c r="B10256" s="1" t="n">
        <v>46007.59984953704</v>
      </c>
      <c r="C10256" s="1" t="n">
        <v>46011</v>
      </c>
      <c r="D10256" t="inlineStr">
        <is>
          <t>VÄSTRA GÖTALANDS LÄN</t>
        </is>
      </c>
      <c r="E10256" t="inlineStr">
        <is>
          <t>MARIESTAD</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64234-2021</t>
        </is>
      </c>
      <c r="B10257" s="1" t="n">
        <v>44510.64112268519</v>
      </c>
      <c r="C10257" s="1" t="n">
        <v>46011</v>
      </c>
      <c r="D10257" t="inlineStr">
        <is>
          <t>VÄSTRA GÖTALANDS LÄN</t>
        </is>
      </c>
      <c r="E10257" t="inlineStr">
        <is>
          <t>VÅRGÅRDA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14911-2023</t>
        </is>
      </c>
      <c r="B10258" s="1" t="n">
        <v>45015.38202546296</v>
      </c>
      <c r="C10258" s="1" t="n">
        <v>46011</v>
      </c>
      <c r="D10258" t="inlineStr">
        <is>
          <t>VÄSTRA GÖTALANDS LÄN</t>
        </is>
      </c>
      <c r="E10258" t="inlineStr">
        <is>
          <t>ULRICEHAMN</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18101-2023</t>
        </is>
      </c>
      <c r="B10259" s="1" t="n">
        <v>45040</v>
      </c>
      <c r="C10259" s="1" t="n">
        <v>46011</v>
      </c>
      <c r="D10259" t="inlineStr">
        <is>
          <t>VÄSTRA GÖTALANDS LÄN</t>
        </is>
      </c>
      <c r="E10259" t="inlineStr">
        <is>
          <t>BENGTSFORS</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16746-2023</t>
        </is>
      </c>
      <c r="B10260" s="1" t="n">
        <v>45030.84126157407</v>
      </c>
      <c r="C10260" s="1" t="n">
        <v>46011</v>
      </c>
      <c r="D10260" t="inlineStr">
        <is>
          <t>VÄSTRA GÖTALANDS LÄN</t>
        </is>
      </c>
      <c r="E10260" t="inlineStr">
        <is>
          <t>MELLERUD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57886-2025</t>
        </is>
      </c>
      <c r="B10261" s="1" t="n">
        <v>45981.67636574074</v>
      </c>
      <c r="C10261" s="1" t="n">
        <v>46011</v>
      </c>
      <c r="D10261" t="inlineStr">
        <is>
          <t>VÄSTRA GÖTALANDS LÄN</t>
        </is>
      </c>
      <c r="E10261" t="inlineStr">
        <is>
          <t>TROLLHÄTTAN</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61083-2025</t>
        </is>
      </c>
      <c r="B10262" s="1" t="n">
        <v>46000</v>
      </c>
      <c r="C10262" s="1" t="n">
        <v>46011</v>
      </c>
      <c r="D10262" t="inlineStr">
        <is>
          <t>VÄSTRA GÖTALANDS LÄN</t>
        </is>
      </c>
      <c r="E10262" t="inlineStr">
        <is>
          <t>HERRLJUNGA</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62692-2025</t>
        </is>
      </c>
      <c r="B10263" s="1" t="n">
        <v>46008.48265046296</v>
      </c>
      <c r="C10263" s="1" t="n">
        <v>46011</v>
      </c>
      <c r="D10263" t="inlineStr">
        <is>
          <t>VÄSTRA GÖTALANDS LÄN</t>
        </is>
      </c>
      <c r="E10263" t="inlineStr">
        <is>
          <t>BORÅS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14140-2024</t>
        </is>
      </c>
      <c r="B10264" s="1" t="n">
        <v>45392.84564814815</v>
      </c>
      <c r="C10264" s="1" t="n">
        <v>46011</v>
      </c>
      <c r="D10264" t="inlineStr">
        <is>
          <t>VÄSTRA GÖTALANDS LÄN</t>
        </is>
      </c>
      <c r="E10264" t="inlineStr">
        <is>
          <t>TIDAHOLM</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62774-2025</t>
        </is>
      </c>
      <c r="B10265" s="1" t="n">
        <v>46008.60609953704</v>
      </c>
      <c r="C10265" s="1" t="n">
        <v>46011</v>
      </c>
      <c r="D10265" t="inlineStr">
        <is>
          <t>VÄSTRA GÖTALANDS LÄN</t>
        </is>
      </c>
      <c r="E10265" t="inlineStr">
        <is>
          <t>LERUM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47398-2024</t>
        </is>
      </c>
      <c r="B10266" s="1" t="n">
        <v>45587.47180555556</v>
      </c>
      <c r="C10266" s="1" t="n">
        <v>46011</v>
      </c>
      <c r="D10266" t="inlineStr">
        <is>
          <t>VÄSTRA GÖTALANDS LÄN</t>
        </is>
      </c>
      <c r="E10266" t="inlineStr">
        <is>
          <t>LERUM</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14288-2024</t>
        </is>
      </c>
      <c r="B10267" s="1" t="n">
        <v>45393.62962962963</v>
      </c>
      <c r="C10267" s="1" t="n">
        <v>46011</v>
      </c>
      <c r="D10267" t="inlineStr">
        <is>
          <t>VÄSTRA GÖTALANDS LÄN</t>
        </is>
      </c>
      <c r="E10267" t="inlineStr">
        <is>
          <t>MARIESTAD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62551-2021</t>
        </is>
      </c>
      <c r="B10268" s="1" t="n">
        <v>44503.6196875</v>
      </c>
      <c r="C10268" s="1" t="n">
        <v>46011</v>
      </c>
      <c r="D10268" t="inlineStr">
        <is>
          <t>VÄSTRA GÖTALANDS LÄN</t>
        </is>
      </c>
      <c r="E10268" t="inlineStr">
        <is>
          <t>LIDKÖPING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6179-2024</t>
        </is>
      </c>
      <c r="B10269" s="1" t="n">
        <v>45337</v>
      </c>
      <c r="C10269" s="1" t="n">
        <v>46011</v>
      </c>
      <c r="D10269" t="inlineStr">
        <is>
          <t>VÄSTRA GÖTALANDS LÄN</t>
        </is>
      </c>
      <c r="E10269" t="inlineStr">
        <is>
          <t>VÄNERSBORG</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6203-2024</t>
        </is>
      </c>
      <c r="B10270" s="1" t="n">
        <v>45337</v>
      </c>
      <c r="C10270" s="1" t="n">
        <v>46011</v>
      </c>
      <c r="D10270" t="inlineStr">
        <is>
          <t>VÄSTRA GÖTALANDS LÄN</t>
        </is>
      </c>
      <c r="E10270" t="inlineStr">
        <is>
          <t>BORÅS</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54576-2025</t>
        </is>
      </c>
      <c r="B10271" s="1" t="n">
        <v>45965.68145833333</v>
      </c>
      <c r="C10271" s="1" t="n">
        <v>46011</v>
      </c>
      <c r="D10271" t="inlineStr">
        <is>
          <t>VÄSTRA GÖTALANDS LÄN</t>
        </is>
      </c>
      <c r="E10271" t="inlineStr">
        <is>
          <t>MARK</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54611-2025</t>
        </is>
      </c>
      <c r="B10272" s="1" t="n">
        <v>45966.32216435186</v>
      </c>
      <c r="C10272" s="1" t="n">
        <v>46011</v>
      </c>
      <c r="D10272" t="inlineStr">
        <is>
          <t>VÄSTRA GÖTALANDS LÄN</t>
        </is>
      </c>
      <c r="E10272" t="inlineStr">
        <is>
          <t>STENUNGSUND</t>
        </is>
      </c>
      <c r="G10272" t="n">
        <v>10.8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4675-2023</t>
        </is>
      </c>
      <c r="B10273" s="1" t="n">
        <v>44957</v>
      </c>
      <c r="C10273" s="1" t="n">
        <v>46011</v>
      </c>
      <c r="D10273" t="inlineStr">
        <is>
          <t>VÄSTRA GÖTALANDS LÄN</t>
        </is>
      </c>
      <c r="E10273" t="inlineStr">
        <is>
          <t>FALKÖPING</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7120-2024</t>
        </is>
      </c>
      <c r="B10274" s="1" t="n">
        <v>45344</v>
      </c>
      <c r="C10274" s="1" t="n">
        <v>46011</v>
      </c>
      <c r="D10274" t="inlineStr">
        <is>
          <t>VÄSTRA GÖTALANDS LÄN</t>
        </is>
      </c>
      <c r="E10274" t="inlineStr">
        <is>
          <t>TÖREBODA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59956-2023</t>
        </is>
      </c>
      <c r="B10275" s="1" t="n">
        <v>45257.71068287037</v>
      </c>
      <c r="C10275" s="1" t="n">
        <v>46011</v>
      </c>
      <c r="D10275" t="inlineStr">
        <is>
          <t>VÄSTRA GÖTALANDS LÄN</t>
        </is>
      </c>
      <c r="E10275" t="inlineStr">
        <is>
          <t>ALINGSÅS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59979-2023</t>
        </is>
      </c>
      <c r="B10276" s="1" t="n">
        <v>45257.7878587963</v>
      </c>
      <c r="C10276" s="1" t="n">
        <v>46011</v>
      </c>
      <c r="D10276" t="inlineStr">
        <is>
          <t>VÄSTRA GÖTALANDS LÄN</t>
        </is>
      </c>
      <c r="E10276" t="inlineStr">
        <is>
          <t>BENGTSFORS</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62339-2025</t>
        </is>
      </c>
      <c r="B10277" s="1" t="n">
        <v>46006</v>
      </c>
      <c r="C10277" s="1" t="n">
        <v>46011</v>
      </c>
      <c r="D10277" t="inlineStr">
        <is>
          <t>VÄSTRA GÖTALANDS LÄN</t>
        </is>
      </c>
      <c r="E10277" t="inlineStr">
        <is>
          <t>ÅMÅL</t>
        </is>
      </c>
      <c r="F10277" t="inlineStr">
        <is>
          <t>Bergvik skog väst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7770-2023</t>
        </is>
      </c>
      <c r="B10278" s="1" t="n">
        <v>44973</v>
      </c>
      <c r="C10278" s="1" t="n">
        <v>46011</v>
      </c>
      <c r="D10278" t="inlineStr">
        <is>
          <t>VÄSTRA GÖTALANDS LÄN</t>
        </is>
      </c>
      <c r="E10278" t="inlineStr">
        <is>
          <t>UDDEVALLA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7781-2023</t>
        </is>
      </c>
      <c r="B10279" s="1" t="n">
        <v>44973.41172453704</v>
      </c>
      <c r="C10279" s="1" t="n">
        <v>46011</v>
      </c>
      <c r="D10279" t="inlineStr">
        <is>
          <t>VÄSTRA GÖTALANDS LÄN</t>
        </is>
      </c>
      <c r="E10279" t="inlineStr">
        <is>
          <t>TROLLHÄTTAN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55488-2022</t>
        </is>
      </c>
      <c r="B10280" s="1" t="n">
        <v>44887</v>
      </c>
      <c r="C10280" s="1" t="n">
        <v>46011</v>
      </c>
      <c r="D10280" t="inlineStr">
        <is>
          <t>VÄSTRA GÖTALANDS LÄN</t>
        </is>
      </c>
      <c r="E10280" t="inlineStr">
        <is>
          <t>ALE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35056-2023</t>
        </is>
      </c>
      <c r="B10281" s="1" t="n">
        <v>45142</v>
      </c>
      <c r="C10281" s="1" t="n">
        <v>46011</v>
      </c>
      <c r="D10281" t="inlineStr">
        <is>
          <t>VÄSTRA GÖTALANDS LÄN</t>
        </is>
      </c>
      <c r="E10281" t="inlineStr">
        <is>
          <t>VARA</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8372-2024</t>
        </is>
      </c>
      <c r="B10282" s="1" t="n">
        <v>45352.62096064815</v>
      </c>
      <c r="C10282" s="1" t="n">
        <v>46011</v>
      </c>
      <c r="D10282" t="inlineStr">
        <is>
          <t>VÄSTRA GÖTALANDS LÄN</t>
        </is>
      </c>
      <c r="E10282" t="inlineStr">
        <is>
          <t>MARK</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54405-2025</t>
        </is>
      </c>
      <c r="B10283" s="1" t="n">
        <v>45965</v>
      </c>
      <c r="C10283" s="1" t="n">
        <v>46011</v>
      </c>
      <c r="D10283" t="inlineStr">
        <is>
          <t>VÄSTRA GÖTALANDS LÄN</t>
        </is>
      </c>
      <c r="E10283" t="inlineStr">
        <is>
          <t>FÄRGELANDA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54447-2025</t>
        </is>
      </c>
      <c r="B10284" s="1" t="n">
        <v>45965.53032407408</v>
      </c>
      <c r="C10284" s="1" t="n">
        <v>46011</v>
      </c>
      <c r="D10284" t="inlineStr">
        <is>
          <t>VÄSTRA GÖTALANDS LÄN</t>
        </is>
      </c>
      <c r="E10284" t="inlineStr">
        <is>
          <t>MARIESTAD</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11268-2024</t>
        </is>
      </c>
      <c r="B10285" s="1" t="n">
        <v>45371.68351851852</v>
      </c>
      <c r="C10285" s="1" t="n">
        <v>46011</v>
      </c>
      <c r="D10285" t="inlineStr">
        <is>
          <t>VÄSTRA GÖTALANDS LÄN</t>
        </is>
      </c>
      <c r="E10285" t="inlineStr">
        <is>
          <t>MUNKEDAL</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36154-2024</t>
        </is>
      </c>
      <c r="B10286" s="1" t="n">
        <v>45534</v>
      </c>
      <c r="C10286" s="1" t="n">
        <v>46011</v>
      </c>
      <c r="D10286" t="inlineStr">
        <is>
          <t>VÄSTRA GÖTALANDS LÄN</t>
        </is>
      </c>
      <c r="E10286" t="inlineStr">
        <is>
          <t>TANUM</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54596-2025</t>
        </is>
      </c>
      <c r="B10287" s="1" t="n">
        <v>45965.76703703704</v>
      </c>
      <c r="C10287" s="1" t="n">
        <v>46011</v>
      </c>
      <c r="D10287" t="inlineStr">
        <is>
          <t>VÄSTRA GÖTALANDS LÄN</t>
        </is>
      </c>
      <c r="E10287" t="inlineStr">
        <is>
          <t>BENGTSFORS</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54366-2025</t>
        </is>
      </c>
      <c r="B10288" s="1" t="n">
        <v>45965.40274305556</v>
      </c>
      <c r="C10288" s="1" t="n">
        <v>46011</v>
      </c>
      <c r="D10288" t="inlineStr">
        <is>
          <t>VÄSTRA GÖTALANDS LÄN</t>
        </is>
      </c>
      <c r="E10288" t="inlineStr">
        <is>
          <t>LYSEKIL</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62850-2025</t>
        </is>
      </c>
      <c r="B10289" s="1" t="n">
        <v>46008.70103009259</v>
      </c>
      <c r="C10289" s="1" t="n">
        <v>46011</v>
      </c>
      <c r="D10289" t="inlineStr">
        <is>
          <t>VÄSTRA GÖTALANDS LÄN</t>
        </is>
      </c>
      <c r="E10289" t="inlineStr">
        <is>
          <t>BORÅS</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11772-2024</t>
        </is>
      </c>
      <c r="B10290" s="1" t="n">
        <v>45373</v>
      </c>
      <c r="C10290" s="1" t="n">
        <v>46011</v>
      </c>
      <c r="D10290" t="inlineStr">
        <is>
          <t>VÄSTRA GÖTALANDS LÄN</t>
        </is>
      </c>
      <c r="E10290" t="inlineStr">
        <is>
          <t>GÖTENE</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11773-2024</t>
        </is>
      </c>
      <c r="B10291" s="1" t="n">
        <v>45373</v>
      </c>
      <c r="C10291" s="1" t="n">
        <v>46011</v>
      </c>
      <c r="D10291" t="inlineStr">
        <is>
          <t>VÄSTRA GÖTALANDS LÄN</t>
        </is>
      </c>
      <c r="E10291" t="inlineStr">
        <is>
          <t>GÖTENE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62868-2025</t>
        </is>
      </c>
      <c r="B10292" s="1" t="n">
        <v>46008.82458333333</v>
      </c>
      <c r="C10292" s="1" t="n">
        <v>46011</v>
      </c>
      <c r="D10292" t="inlineStr">
        <is>
          <t>VÄSTRA GÖTALANDS LÄN</t>
        </is>
      </c>
      <c r="E10292" t="inlineStr">
        <is>
          <t>TANUM</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11777-2024</t>
        </is>
      </c>
      <c r="B10293" s="1" t="n">
        <v>45374.35063657408</v>
      </c>
      <c r="C10293" s="1" t="n">
        <v>46011</v>
      </c>
      <c r="D10293" t="inlineStr">
        <is>
          <t>VÄSTRA GÖTALANDS LÄN</t>
        </is>
      </c>
      <c r="E10293" t="inlineStr">
        <is>
          <t>VÅRGÅRDA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11792-2024</t>
        </is>
      </c>
      <c r="B10294" s="1" t="n">
        <v>45375</v>
      </c>
      <c r="C10294" s="1" t="n">
        <v>46011</v>
      </c>
      <c r="D10294" t="inlineStr">
        <is>
          <t>VÄSTRA GÖTALANDS LÄN</t>
        </is>
      </c>
      <c r="E10294" t="inlineStr">
        <is>
          <t>VÅRGÅRDA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11795-2024</t>
        </is>
      </c>
      <c r="B10295" s="1" t="n">
        <v>45375.3290625</v>
      </c>
      <c r="C10295" s="1" t="n">
        <v>46011</v>
      </c>
      <c r="D10295" t="inlineStr">
        <is>
          <t>VÄSTRA GÖTALANDS LÄN</t>
        </is>
      </c>
      <c r="E10295" t="inlineStr">
        <is>
          <t>LIDKÖPING</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54535-2025</t>
        </is>
      </c>
      <c r="B10296" s="1" t="n">
        <v>45965.64016203704</v>
      </c>
      <c r="C10296" s="1" t="n">
        <v>46011</v>
      </c>
      <c r="D10296" t="inlineStr">
        <is>
          <t>VÄSTRA GÖTALANDS LÄN</t>
        </is>
      </c>
      <c r="E10296" t="inlineStr">
        <is>
          <t>FÄRGELANDA</t>
        </is>
      </c>
      <c r="G10296" t="n">
        <v>8.699999999999999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54542-2025</t>
        </is>
      </c>
      <c r="B10297" s="1" t="n">
        <v>45965.64857638889</v>
      </c>
      <c r="C10297" s="1" t="n">
        <v>46011</v>
      </c>
      <c r="D10297" t="inlineStr">
        <is>
          <t>VÄSTRA GÖTALANDS LÄN</t>
        </is>
      </c>
      <c r="E10297" t="inlineStr">
        <is>
          <t>TROLLHÄTTAN</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54561-2025</t>
        </is>
      </c>
      <c r="B10298" s="1" t="n">
        <v>45965.66560185186</v>
      </c>
      <c r="C10298" s="1" t="n">
        <v>46011</v>
      </c>
      <c r="D10298" t="inlineStr">
        <is>
          <t>VÄSTRA GÖTALANDS LÄN</t>
        </is>
      </c>
      <c r="E10298" t="inlineStr">
        <is>
          <t>TIDAHOLM</t>
        </is>
      </c>
      <c r="F10298" t="inlineStr">
        <is>
          <t>Sveaskog</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62171-2023</t>
        </is>
      </c>
      <c r="B10299" s="1" t="n">
        <v>45267.42585648148</v>
      </c>
      <c r="C10299" s="1" t="n">
        <v>46011</v>
      </c>
      <c r="D10299" t="inlineStr">
        <is>
          <t>VÄSTRA GÖTALANDS LÄN</t>
        </is>
      </c>
      <c r="E10299" t="inlineStr">
        <is>
          <t>HJO</t>
        </is>
      </c>
      <c r="F10299" t="inlineStr">
        <is>
          <t>Sveaskog</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1262-2021</t>
        </is>
      </c>
      <c r="B10300" s="1" t="n">
        <v>44208</v>
      </c>
      <c r="C10300" s="1" t="n">
        <v>46011</v>
      </c>
      <c r="D10300" t="inlineStr">
        <is>
          <t>VÄSTRA GÖTALANDS LÄN</t>
        </is>
      </c>
      <c r="E10300" t="inlineStr">
        <is>
          <t>LILLA EDET</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73811-2021</t>
        </is>
      </c>
      <c r="B10301" s="1" t="n">
        <v>44552.73288194444</v>
      </c>
      <c r="C10301" s="1" t="n">
        <v>46011</v>
      </c>
      <c r="D10301" t="inlineStr">
        <is>
          <t>VÄSTRA GÖTALANDS LÄN</t>
        </is>
      </c>
      <c r="E10301" t="inlineStr">
        <is>
          <t>TRANEMO</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62440-2025</t>
        </is>
      </c>
      <c r="B10302" s="1" t="n">
        <v>46007.47361111111</v>
      </c>
      <c r="C10302" s="1" t="n">
        <v>46011</v>
      </c>
      <c r="D10302" t="inlineStr">
        <is>
          <t>VÄSTRA GÖTALANDS LÄN</t>
        </is>
      </c>
      <c r="E10302" t="inlineStr">
        <is>
          <t>ÅMÅL</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32450-2023</t>
        </is>
      </c>
      <c r="B10303" s="1" t="n">
        <v>45120</v>
      </c>
      <c r="C10303" s="1" t="n">
        <v>46011</v>
      </c>
      <c r="D10303" t="inlineStr">
        <is>
          <t>VÄSTRA GÖTALANDS LÄN</t>
        </is>
      </c>
      <c r="E10303" t="inlineStr">
        <is>
          <t>BORÅS</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61825-2021</t>
        </is>
      </c>
      <c r="B10304" s="1" t="n">
        <v>44501.79969907407</v>
      </c>
      <c r="C10304" s="1" t="n">
        <v>46011</v>
      </c>
      <c r="D10304" t="inlineStr">
        <is>
          <t>VÄSTRA GÖTALANDS LÄN</t>
        </is>
      </c>
      <c r="E10304" t="inlineStr">
        <is>
          <t>VÄNERSBORG</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61826-2021</t>
        </is>
      </c>
      <c r="B10305" s="1" t="n">
        <v>44501</v>
      </c>
      <c r="C10305" s="1" t="n">
        <v>46011</v>
      </c>
      <c r="D10305" t="inlineStr">
        <is>
          <t>VÄSTRA GÖTALANDS LÄN</t>
        </is>
      </c>
      <c r="E10305" t="inlineStr">
        <is>
          <t>VÄNERSBORG</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62803-2025</t>
        </is>
      </c>
      <c r="B10306" s="1" t="n">
        <v>46008</v>
      </c>
      <c r="C10306" s="1" t="n">
        <v>46011</v>
      </c>
      <c r="D10306" t="inlineStr">
        <is>
          <t>VÄSTRA GÖTALANDS LÄN</t>
        </is>
      </c>
      <c r="E10306" t="inlineStr">
        <is>
          <t>SKÖVDE</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62811-2025</t>
        </is>
      </c>
      <c r="B10307" s="1" t="n">
        <v>46008</v>
      </c>
      <c r="C10307" s="1" t="n">
        <v>46011</v>
      </c>
      <c r="D10307" t="inlineStr">
        <is>
          <t>VÄSTRA GÖTALANDS LÄN</t>
        </is>
      </c>
      <c r="E10307" t="inlineStr">
        <is>
          <t>SKÖVDE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59946-2022</t>
        </is>
      </c>
      <c r="B10308" s="1" t="n">
        <v>44909.38717592593</v>
      </c>
      <c r="C10308" s="1" t="n">
        <v>46011</v>
      </c>
      <c r="D10308" t="inlineStr">
        <is>
          <t>VÄSTRA GÖTALANDS LÄN</t>
        </is>
      </c>
      <c r="E10308" t="inlineStr">
        <is>
          <t>VARA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22662-2025</t>
        </is>
      </c>
      <c r="B10309" s="1" t="n">
        <v>45789</v>
      </c>
      <c r="C10309" s="1" t="n">
        <v>46011</v>
      </c>
      <c r="D10309" t="inlineStr">
        <is>
          <t>VÄSTRA GÖTALANDS LÄN</t>
        </is>
      </c>
      <c r="E10309" t="inlineStr">
        <is>
          <t>TRANEMO</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55273-2025</t>
        </is>
      </c>
      <c r="B10310" s="1" t="n">
        <v>45968.69956018519</v>
      </c>
      <c r="C10310" s="1" t="n">
        <v>46011</v>
      </c>
      <c r="D10310" t="inlineStr">
        <is>
          <t>VÄSTRA GÖTALANDS LÄN</t>
        </is>
      </c>
      <c r="E10310" t="inlineStr">
        <is>
          <t>HÄRRYDA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55274-2025</t>
        </is>
      </c>
      <c r="B10311" s="1" t="n">
        <v>45968.70364583333</v>
      </c>
      <c r="C10311" s="1" t="n">
        <v>46011</v>
      </c>
      <c r="D10311" t="inlineStr">
        <is>
          <t>VÄSTRA GÖTALANDS LÄN</t>
        </is>
      </c>
      <c r="E10311" t="inlineStr">
        <is>
          <t>HÄRRYDA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19739-2025</t>
        </is>
      </c>
      <c r="B10312" s="1" t="n">
        <v>45771.36829861111</v>
      </c>
      <c r="C10312" s="1" t="n">
        <v>46011</v>
      </c>
      <c r="D10312" t="inlineStr">
        <is>
          <t>VÄSTRA GÖTALANDS LÄN</t>
        </is>
      </c>
      <c r="E10312" t="inlineStr">
        <is>
          <t>ALINGSÅS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73158-2021</t>
        </is>
      </c>
      <c r="B10313" s="1" t="n">
        <v>44550.53336805556</v>
      </c>
      <c r="C10313" s="1" t="n">
        <v>46011</v>
      </c>
      <c r="D10313" t="inlineStr">
        <is>
          <t>VÄSTRA GÖTALANDS LÄN</t>
        </is>
      </c>
      <c r="E10313" t="inlineStr">
        <is>
          <t>TROLLHÄTTAN</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46384-2025</t>
        </is>
      </c>
      <c r="B10314" s="1" t="n">
        <v>45925</v>
      </c>
      <c r="C10314" s="1" t="n">
        <v>46011</v>
      </c>
      <c r="D10314" t="inlineStr">
        <is>
          <t>VÄSTRA GÖTALANDS LÄN</t>
        </is>
      </c>
      <c r="E10314" t="inlineStr">
        <is>
          <t>MÖLNDAL</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73168-2021</t>
        </is>
      </c>
      <c r="B10315" s="1" t="n">
        <v>44550</v>
      </c>
      <c r="C10315" s="1" t="n">
        <v>46011</v>
      </c>
      <c r="D10315" t="inlineStr">
        <is>
          <t>VÄSTRA GÖTALANDS LÄN</t>
        </is>
      </c>
      <c r="E10315" t="inlineStr">
        <is>
          <t>VARA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73226-2021</t>
        </is>
      </c>
      <c r="B10316" s="1" t="n">
        <v>44550</v>
      </c>
      <c r="C10316" s="1" t="n">
        <v>46011</v>
      </c>
      <c r="D10316" t="inlineStr">
        <is>
          <t>VÄSTRA GÖTALANDS LÄN</t>
        </is>
      </c>
      <c r="E10316" t="inlineStr">
        <is>
          <t>VÄNERSBORG</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8345-2024</t>
        </is>
      </c>
      <c r="B10317" s="1" t="n">
        <v>45352.54994212963</v>
      </c>
      <c r="C10317" s="1" t="n">
        <v>46011</v>
      </c>
      <c r="D10317" t="inlineStr">
        <is>
          <t>VÄSTRA GÖTALANDS LÄN</t>
        </is>
      </c>
      <c r="E10317" t="inlineStr">
        <is>
          <t>FALKÖPING</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35047-2024</t>
        </is>
      </c>
      <c r="B10318" s="1" t="n">
        <v>45527.64486111111</v>
      </c>
      <c r="C10318" s="1" t="n">
        <v>46011</v>
      </c>
      <c r="D10318" t="inlineStr">
        <is>
          <t>VÄSTRA GÖTALANDS LÄN</t>
        </is>
      </c>
      <c r="E10318" t="inlineStr">
        <is>
          <t>LIDKÖPING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35048-2024</t>
        </is>
      </c>
      <c r="B10319" s="1" t="n">
        <v>45527.64537037037</v>
      </c>
      <c r="C10319" s="1" t="n">
        <v>46011</v>
      </c>
      <c r="D10319" t="inlineStr">
        <is>
          <t>VÄSTRA GÖTALANDS LÄN</t>
        </is>
      </c>
      <c r="E10319" t="inlineStr">
        <is>
          <t>TIBRO</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29935-2023</t>
        </is>
      </c>
      <c r="B10320" s="1" t="n">
        <v>45107.91672453703</v>
      </c>
      <c r="C10320" s="1" t="n">
        <v>46011</v>
      </c>
      <c r="D10320" t="inlineStr">
        <is>
          <t>VÄSTRA GÖTALANDS LÄN</t>
        </is>
      </c>
      <c r="E10320" t="inlineStr">
        <is>
          <t>HERRLJUNGA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40684-2024</t>
        </is>
      </c>
      <c r="B10321" s="1" t="n">
        <v>45558.37883101852</v>
      </c>
      <c r="C10321" s="1" t="n">
        <v>46011</v>
      </c>
      <c r="D10321" t="inlineStr">
        <is>
          <t>VÄSTRA GÖTALANDS LÄN</t>
        </is>
      </c>
      <c r="E10321" t="inlineStr">
        <is>
          <t>ULRICEHAMN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43398-2024</t>
        </is>
      </c>
      <c r="B10322" s="1" t="n">
        <v>45568.61006944445</v>
      </c>
      <c r="C10322" s="1" t="n">
        <v>46011</v>
      </c>
      <c r="D10322" t="inlineStr">
        <is>
          <t>VÄSTRA GÖTALANDS LÄN</t>
        </is>
      </c>
      <c r="E10322" t="inlineStr">
        <is>
          <t>BOLLEBYGD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69198-2021</t>
        </is>
      </c>
      <c r="B10323" s="1" t="n">
        <v>44531.34621527778</v>
      </c>
      <c r="C10323" s="1" t="n">
        <v>46011</v>
      </c>
      <c r="D10323" t="inlineStr">
        <is>
          <t>VÄSTRA GÖTALANDS LÄN</t>
        </is>
      </c>
      <c r="E10323" t="inlineStr">
        <is>
          <t>UDDEVALLA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5039-2024</t>
        </is>
      </c>
      <c r="B10324" s="1" t="n">
        <v>45329.88466435186</v>
      </c>
      <c r="C10324" s="1" t="n">
        <v>46011</v>
      </c>
      <c r="D10324" t="inlineStr">
        <is>
          <t>VÄSTRA GÖTALANDS LÄN</t>
        </is>
      </c>
      <c r="E10324" t="inlineStr">
        <is>
          <t>BORÅS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55150-2025</t>
        </is>
      </c>
      <c r="B10325" s="1" t="n">
        <v>45968.45446759259</v>
      </c>
      <c r="C10325" s="1" t="n">
        <v>46011</v>
      </c>
      <c r="D10325" t="inlineStr">
        <is>
          <t>VÄSTRA GÖTALANDS LÄN</t>
        </is>
      </c>
      <c r="E10325" t="inlineStr">
        <is>
          <t>BORÅS</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60494-2022</t>
        </is>
      </c>
      <c r="B10326" s="1" t="n">
        <v>44911</v>
      </c>
      <c r="C10326" s="1" t="n">
        <v>46011</v>
      </c>
      <c r="D10326" t="inlineStr">
        <is>
          <t>VÄSTRA GÖTALANDS LÄN</t>
        </is>
      </c>
      <c r="E10326" t="inlineStr">
        <is>
          <t>BENGTSFORS</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36416-2023</t>
        </is>
      </c>
      <c r="B10327" s="1" t="n">
        <v>45151</v>
      </c>
      <c r="C10327" s="1" t="n">
        <v>46011</v>
      </c>
      <c r="D10327" t="inlineStr">
        <is>
          <t>VÄSTRA GÖTALANDS LÄN</t>
        </is>
      </c>
      <c r="E10327" t="inlineStr">
        <is>
          <t>BENGTSFORS</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36423-2023</t>
        </is>
      </c>
      <c r="B10328" s="1" t="n">
        <v>45151</v>
      </c>
      <c r="C10328" s="1" t="n">
        <v>46011</v>
      </c>
      <c r="D10328" t="inlineStr">
        <is>
          <t>VÄSTRA GÖTALANDS LÄN</t>
        </is>
      </c>
      <c r="E10328" t="inlineStr">
        <is>
          <t>BENGTSFORS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63287-2025</t>
        </is>
      </c>
      <c r="B10329" s="1" t="n">
        <v>46009</v>
      </c>
      <c r="C10329" s="1" t="n">
        <v>46011</v>
      </c>
      <c r="D10329" t="inlineStr">
        <is>
          <t>VÄSTRA GÖTALANDS LÄN</t>
        </is>
      </c>
      <c r="E10329" t="inlineStr">
        <is>
          <t>MARIESTAD</t>
        </is>
      </c>
      <c r="F10329" t="inlineStr">
        <is>
          <t>Kyrkan</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59514-2023</t>
        </is>
      </c>
      <c r="B10330" s="1" t="n">
        <v>45254.48559027778</v>
      </c>
      <c r="C10330" s="1" t="n">
        <v>46011</v>
      </c>
      <c r="D10330" t="inlineStr">
        <is>
          <t>VÄSTRA GÖTALANDS LÄN</t>
        </is>
      </c>
      <c r="E10330" t="inlineStr">
        <is>
          <t>DALS-ED</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59517-2023</t>
        </is>
      </c>
      <c r="B10331" s="1" t="n">
        <v>45254</v>
      </c>
      <c r="C10331" s="1" t="n">
        <v>46011</v>
      </c>
      <c r="D10331" t="inlineStr">
        <is>
          <t>VÄSTRA GÖTALANDS LÄN</t>
        </is>
      </c>
      <c r="E10331" t="inlineStr">
        <is>
          <t>BOLLEBYGD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23175-2023</t>
        </is>
      </c>
      <c r="B10332" s="1" t="n">
        <v>45075</v>
      </c>
      <c r="C10332" s="1" t="n">
        <v>46011</v>
      </c>
      <c r="D10332" t="inlineStr">
        <is>
          <t>VÄSTRA GÖTALANDS LÄN</t>
        </is>
      </c>
      <c r="E10332" t="inlineStr">
        <is>
          <t>TROLLHÄTTAN</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180-2024</t>
        </is>
      </c>
      <c r="B10333" s="1" t="n">
        <v>45294</v>
      </c>
      <c r="C10333" s="1" t="n">
        <v>46011</v>
      </c>
      <c r="D10333" t="inlineStr">
        <is>
          <t>VÄSTRA GÖTALANDS LÄN</t>
        </is>
      </c>
      <c r="E10333" t="inlineStr">
        <is>
          <t>BORÅS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34865-2023</t>
        </is>
      </c>
      <c r="B10334" s="1" t="n">
        <v>45142.3334837963</v>
      </c>
      <c r="C10334" s="1" t="n">
        <v>46011</v>
      </c>
      <c r="D10334" t="inlineStr">
        <is>
          <t>VÄSTRA GÖTALANDS LÄN</t>
        </is>
      </c>
      <c r="E10334" t="inlineStr">
        <is>
          <t>TÖREBODA</t>
        </is>
      </c>
      <c r="F10334" t="inlineStr">
        <is>
          <t>Sveaskog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57995-2023</t>
        </is>
      </c>
      <c r="B10335" s="1" t="n">
        <v>45247.60436342593</v>
      </c>
      <c r="C10335" s="1" t="n">
        <v>46011</v>
      </c>
      <c r="D10335" t="inlineStr">
        <is>
          <t>VÄSTRA GÖTALANDS LÄN</t>
        </is>
      </c>
      <c r="E10335" t="inlineStr">
        <is>
          <t>HERRLJUNGA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1749-2024</t>
        </is>
      </c>
      <c r="B10336" s="1" t="n">
        <v>45307.45815972222</v>
      </c>
      <c r="C10336" s="1" t="n">
        <v>46011</v>
      </c>
      <c r="D10336" t="inlineStr">
        <is>
          <t>VÄSTRA GÖTALANDS LÄN</t>
        </is>
      </c>
      <c r="E10336" t="inlineStr">
        <is>
          <t>VÄNERSBORG</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4556-2021</t>
        </is>
      </c>
      <c r="B10337" s="1" t="n">
        <v>44221</v>
      </c>
      <c r="C10337" s="1" t="n">
        <v>46011</v>
      </c>
      <c r="D10337" t="inlineStr">
        <is>
          <t>VÄSTRA GÖTALANDS LÄN</t>
        </is>
      </c>
      <c r="E10337" t="inlineStr">
        <is>
          <t>ULRICEHAMN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64386-2021</t>
        </is>
      </c>
      <c r="B10338" s="1" t="n">
        <v>44511</v>
      </c>
      <c r="C10338" s="1" t="n">
        <v>46011</v>
      </c>
      <c r="D10338" t="inlineStr">
        <is>
          <t>VÄSTRA GÖTALANDS LÄN</t>
        </is>
      </c>
      <c r="E10338" t="inlineStr">
        <is>
          <t>VÅRGÅRDA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7246-2025</t>
        </is>
      </c>
      <c r="B10339" s="1" t="n">
        <v>45702.55307870371</v>
      </c>
      <c r="C10339" s="1" t="n">
        <v>46011</v>
      </c>
      <c r="D10339" t="inlineStr">
        <is>
          <t>VÄSTRA GÖTALANDS LÄN</t>
        </is>
      </c>
      <c r="E10339" t="inlineStr">
        <is>
          <t>HERRLJUNGA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7364-2025</t>
        </is>
      </c>
      <c r="B10340" s="1" t="n">
        <v>45704</v>
      </c>
      <c r="C10340" s="1" t="n">
        <v>46011</v>
      </c>
      <c r="D10340" t="inlineStr">
        <is>
          <t>VÄSTRA GÖTALANDS LÄN</t>
        </is>
      </c>
      <c r="E10340" t="inlineStr">
        <is>
          <t>ULRICEHAMN</t>
        </is>
      </c>
      <c r="G10340" t="n">
        <v>12.5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63177-2025</t>
        </is>
      </c>
      <c r="B10341" s="1" t="n">
        <v>46010.42064814815</v>
      </c>
      <c r="C10341" s="1" t="n">
        <v>46011</v>
      </c>
      <c r="D10341" t="inlineStr">
        <is>
          <t>VÄSTRA GÖTALANDS LÄN</t>
        </is>
      </c>
      <c r="E10341" t="inlineStr">
        <is>
          <t>TRANEMO</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50794-2023</t>
        </is>
      </c>
      <c r="B10342" s="1" t="n">
        <v>45210</v>
      </c>
      <c r="C10342" s="1" t="n">
        <v>46011</v>
      </c>
      <c r="D10342" t="inlineStr">
        <is>
          <t>VÄSTRA GÖTALANDS LÄN</t>
        </is>
      </c>
      <c r="E10342" t="inlineStr">
        <is>
          <t>SVENLJUNGA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62887-2025</t>
        </is>
      </c>
      <c r="B10343" s="1" t="n">
        <v>46009.30550925926</v>
      </c>
      <c r="C10343" s="1" t="n">
        <v>46011</v>
      </c>
      <c r="D10343" t="inlineStr">
        <is>
          <t>VÄSTRA GÖTALANDS LÄN</t>
        </is>
      </c>
      <c r="E10343" t="inlineStr">
        <is>
          <t>SKARA</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45303-2024</t>
        </is>
      </c>
      <c r="B10344" s="1" t="n">
        <v>45576.4172337963</v>
      </c>
      <c r="C10344" s="1" t="n">
        <v>46011</v>
      </c>
      <c r="D10344" t="inlineStr">
        <is>
          <t>VÄSTRA GÖTALANDS LÄN</t>
        </is>
      </c>
      <c r="E10344" t="inlineStr">
        <is>
          <t>VARA</t>
        </is>
      </c>
      <c r="G10344" t="n">
        <v>8.300000000000001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50796-2023</t>
        </is>
      </c>
      <c r="B10345" s="1" t="n">
        <v>45211</v>
      </c>
      <c r="C10345" s="1" t="n">
        <v>46011</v>
      </c>
      <c r="D10345" t="inlineStr">
        <is>
          <t>VÄSTRA GÖTALANDS LÄN</t>
        </is>
      </c>
      <c r="E10345" t="inlineStr">
        <is>
          <t>TANUM</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59011-2025</t>
        </is>
      </c>
      <c r="B10346" s="1" t="n">
        <v>45987</v>
      </c>
      <c r="C10346" s="1" t="n">
        <v>46011</v>
      </c>
      <c r="D10346" t="inlineStr">
        <is>
          <t>VÄSTRA GÖTALANDS LÄN</t>
        </is>
      </c>
      <c r="E10346" t="inlineStr">
        <is>
          <t>TJÖRN</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2128-2024</t>
        </is>
      </c>
      <c r="B10347" s="1" t="n">
        <v>45309</v>
      </c>
      <c r="C10347" s="1" t="n">
        <v>46011</v>
      </c>
      <c r="D10347" t="inlineStr">
        <is>
          <t>VÄSTRA GÖTALANDS LÄN</t>
        </is>
      </c>
      <c r="E10347" t="inlineStr">
        <is>
          <t>TÖREBODA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6355-2024</t>
        </is>
      </c>
      <c r="B10348" s="1" t="n">
        <v>45338.47413194444</v>
      </c>
      <c r="C10348" s="1" t="n">
        <v>46011</v>
      </c>
      <c r="D10348" t="inlineStr">
        <is>
          <t>VÄSTRA GÖTALANDS LÄN</t>
        </is>
      </c>
      <c r="E10348" t="inlineStr">
        <is>
          <t>TIBRO</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4783-2023</t>
        </is>
      </c>
      <c r="B10349" s="1" t="n">
        <v>44957.59467592592</v>
      </c>
      <c r="C10349" s="1" t="n">
        <v>46011</v>
      </c>
      <c r="D10349" t="inlineStr">
        <is>
          <t>VÄSTRA GÖTALANDS LÄN</t>
        </is>
      </c>
      <c r="E10349" t="inlineStr">
        <is>
          <t>HJO</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4214-2024</t>
        </is>
      </c>
      <c r="B10350" s="1" t="n">
        <v>45324</v>
      </c>
      <c r="C10350" s="1" t="n">
        <v>46011</v>
      </c>
      <c r="D10350" t="inlineStr">
        <is>
          <t>VÄSTRA GÖTALANDS LÄN</t>
        </is>
      </c>
      <c r="E10350" t="inlineStr">
        <is>
          <t>FALKÖPING</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39800-2022</t>
        </is>
      </c>
      <c r="B10351" s="1" t="n">
        <v>44819.51783564815</v>
      </c>
      <c r="C10351" s="1" t="n">
        <v>46011</v>
      </c>
      <c r="D10351" t="inlineStr">
        <is>
          <t>VÄSTRA GÖTALANDS LÄN</t>
        </is>
      </c>
      <c r="E10351" t="inlineStr">
        <is>
          <t>LIDKÖPING</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62059-2023</t>
        </is>
      </c>
      <c r="B10352" s="1" t="n">
        <v>45266</v>
      </c>
      <c r="C10352" s="1" t="n">
        <v>46011</v>
      </c>
      <c r="D10352" t="inlineStr">
        <is>
          <t>VÄSTRA GÖTALANDS LÄN</t>
        </is>
      </c>
      <c r="E10352" t="inlineStr">
        <is>
          <t>TIDAHOLM</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62772-2023</t>
        </is>
      </c>
      <c r="B10353" s="1" t="n">
        <v>45268</v>
      </c>
      <c r="C10353" s="1" t="n">
        <v>46011</v>
      </c>
      <c r="D10353" t="inlineStr">
        <is>
          <t>VÄSTRA GÖTALANDS LÄN</t>
        </is>
      </c>
      <c r="E10353" t="inlineStr">
        <is>
          <t>MARIESTAD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30280-2023</t>
        </is>
      </c>
      <c r="B10354" s="1" t="n">
        <v>45110.88763888889</v>
      </c>
      <c r="C10354" s="1" t="n">
        <v>46011</v>
      </c>
      <c r="D10354" t="inlineStr">
        <is>
          <t>VÄSTRA GÖTALANDS LÄN</t>
        </is>
      </c>
      <c r="E10354" t="inlineStr">
        <is>
          <t>VÅRGÅRDA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62773-2023</t>
        </is>
      </c>
      <c r="B10355" s="1" t="n">
        <v>45271</v>
      </c>
      <c r="C10355" s="1" t="n">
        <v>46011</v>
      </c>
      <c r="D10355" t="inlineStr">
        <is>
          <t>VÄSTRA GÖTALANDS LÄN</t>
        </is>
      </c>
      <c r="E10355" t="inlineStr">
        <is>
          <t>BORÅS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61737-2023</t>
        </is>
      </c>
      <c r="B10356" s="1" t="n">
        <v>45265.69740740741</v>
      </c>
      <c r="C10356" s="1" t="n">
        <v>46011</v>
      </c>
      <c r="D10356" t="inlineStr">
        <is>
          <t>VÄSTRA GÖTALANDS LÄN</t>
        </is>
      </c>
      <c r="E10356" t="inlineStr">
        <is>
          <t>VARA</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32110-2023</t>
        </is>
      </c>
      <c r="B10357" s="1" t="n">
        <v>45119.61902777778</v>
      </c>
      <c r="C10357" s="1" t="n">
        <v>46011</v>
      </c>
      <c r="D10357" t="inlineStr">
        <is>
          <t>VÄSTRA GÖTALANDS LÄN</t>
        </is>
      </c>
      <c r="E10357" t="inlineStr">
        <is>
          <t>LILLA EDET</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42338-2022</t>
        </is>
      </c>
      <c r="B10358" s="1" t="n">
        <v>44831.34840277778</v>
      </c>
      <c r="C10358" s="1" t="n">
        <v>46011</v>
      </c>
      <c r="D10358" t="inlineStr">
        <is>
          <t>VÄSTRA GÖTALANDS LÄN</t>
        </is>
      </c>
      <c r="E10358" t="inlineStr">
        <is>
          <t>TIDAHOLM</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42409-2022</t>
        </is>
      </c>
      <c r="B10359" s="1" t="n">
        <v>44831</v>
      </c>
      <c r="C10359" s="1" t="n">
        <v>46011</v>
      </c>
      <c r="D10359" t="inlineStr">
        <is>
          <t>VÄSTRA GÖTALANDS LÄN</t>
        </is>
      </c>
      <c r="E10359" t="inlineStr">
        <is>
          <t>BENGTSFORS</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54922-2025</t>
        </is>
      </c>
      <c r="B10360" s="1" t="n">
        <v>45967.39920138889</v>
      </c>
      <c r="C10360" s="1" t="n">
        <v>46011</v>
      </c>
      <c r="D10360" t="inlineStr">
        <is>
          <t>VÄSTRA GÖTALANDS LÄN</t>
        </is>
      </c>
      <c r="E10360" t="inlineStr">
        <is>
          <t>TIDAHOLM</t>
        </is>
      </c>
      <c r="F10360" t="inlineStr">
        <is>
          <t>Sveaskog</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9086-2024</t>
        </is>
      </c>
      <c r="B10361" s="1" t="n">
        <v>45357.90260416667</v>
      </c>
      <c r="C10361" s="1" t="n">
        <v>46011</v>
      </c>
      <c r="D10361" t="inlineStr">
        <is>
          <t>VÄSTRA GÖTALANDS LÄN</t>
        </is>
      </c>
      <c r="E10361" t="inlineStr">
        <is>
          <t>VÅRGÅRDA</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9089-2024</t>
        </is>
      </c>
      <c r="B10362" s="1" t="n">
        <v>45357.90612268518</v>
      </c>
      <c r="C10362" s="1" t="n">
        <v>46011</v>
      </c>
      <c r="D10362" t="inlineStr">
        <is>
          <t>VÄSTRA GÖTALANDS LÄN</t>
        </is>
      </c>
      <c r="E10362" t="inlineStr">
        <is>
          <t>VÅRGÅRDA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7179-2023</t>
        </is>
      </c>
      <c r="B10363" s="1" t="n">
        <v>44965</v>
      </c>
      <c r="C10363" s="1" t="n">
        <v>46011</v>
      </c>
      <c r="D10363" t="inlineStr">
        <is>
          <t>VÄSTRA GÖTALANDS LÄN</t>
        </is>
      </c>
      <c r="E10363" t="inlineStr">
        <is>
          <t>TIBRO</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32780-2021</t>
        </is>
      </c>
      <c r="B10364" s="1" t="n">
        <v>44375</v>
      </c>
      <c r="C10364" s="1" t="n">
        <v>46011</v>
      </c>
      <c r="D10364" t="inlineStr">
        <is>
          <t>VÄSTRA GÖTALANDS LÄN</t>
        </is>
      </c>
      <c r="E10364" t="inlineStr">
        <is>
          <t>MARK</t>
        </is>
      </c>
      <c r="F10364" t="inlineStr">
        <is>
          <t>Kyrkan</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56120-2021</t>
        </is>
      </c>
      <c r="B10365" s="1" t="n">
        <v>44477</v>
      </c>
      <c r="C10365" s="1" t="n">
        <v>46011</v>
      </c>
      <c r="D10365" t="inlineStr">
        <is>
          <t>VÄSTRA GÖTALANDS LÄN</t>
        </is>
      </c>
      <c r="E10365" t="inlineStr">
        <is>
          <t>ULRICEHAMN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55144-2025</t>
        </is>
      </c>
      <c r="B10366" s="1" t="n">
        <v>45968.43841435185</v>
      </c>
      <c r="C10366" s="1" t="n">
        <v>46011</v>
      </c>
      <c r="D10366" t="inlineStr">
        <is>
          <t>VÄSTRA GÖTALANDS LÄN</t>
        </is>
      </c>
      <c r="E10366" t="inlineStr">
        <is>
          <t>SVENLJUNGA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55146-2025</t>
        </is>
      </c>
      <c r="B10367" s="1" t="n">
        <v>45968.44337962963</v>
      </c>
      <c r="C10367" s="1" t="n">
        <v>46011</v>
      </c>
      <c r="D10367" t="inlineStr">
        <is>
          <t>VÄSTRA GÖTALANDS LÄN</t>
        </is>
      </c>
      <c r="E10367" t="inlineStr">
        <is>
          <t>BORÅS</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29770-2021</t>
        </is>
      </c>
      <c r="B10368" s="1" t="n">
        <v>44362</v>
      </c>
      <c r="C10368" s="1" t="n">
        <v>46011</v>
      </c>
      <c r="D10368" t="inlineStr">
        <is>
          <t>VÄSTRA GÖTALANDS LÄN</t>
        </is>
      </c>
      <c r="E10368" t="inlineStr">
        <is>
          <t>FÄRGELANDA</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20559-2025</t>
        </is>
      </c>
      <c r="B10369" s="1" t="n">
        <v>45775.64578703704</v>
      </c>
      <c r="C10369" s="1" t="n">
        <v>46011</v>
      </c>
      <c r="D10369" t="inlineStr">
        <is>
          <t>VÄSTRA GÖTALANDS LÄN</t>
        </is>
      </c>
      <c r="E10369" t="inlineStr">
        <is>
          <t>SVENLJUNGA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54997-2025</t>
        </is>
      </c>
      <c r="B10370" s="1" t="n">
        <v>45967.5977199074</v>
      </c>
      <c r="C10370" s="1" t="n">
        <v>46011</v>
      </c>
      <c r="D10370" t="inlineStr">
        <is>
          <t>VÄSTRA GÖTALANDS LÄN</t>
        </is>
      </c>
      <c r="E10370" t="inlineStr">
        <is>
          <t>VARA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45083-2024</t>
        </is>
      </c>
      <c r="B10371" s="1" t="n">
        <v>45575.57584490741</v>
      </c>
      <c r="C10371" s="1" t="n">
        <v>46011</v>
      </c>
      <c r="D10371" t="inlineStr">
        <is>
          <t>VÄSTRA GÖTALANDS LÄN</t>
        </is>
      </c>
      <c r="E10371" t="inlineStr">
        <is>
          <t>MUNKEDAL</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45086-2024</t>
        </is>
      </c>
      <c r="B10372" s="1" t="n">
        <v>45575.58041666666</v>
      </c>
      <c r="C10372" s="1" t="n">
        <v>46011</v>
      </c>
      <c r="D10372" t="inlineStr">
        <is>
          <t>VÄSTRA GÖTALANDS LÄN</t>
        </is>
      </c>
      <c r="E10372" t="inlineStr">
        <is>
          <t>ÅMÅL</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11203-2025</t>
        </is>
      </c>
      <c r="B10373" s="1" t="n">
        <v>45726.31612268519</v>
      </c>
      <c r="C10373" s="1" t="n">
        <v>46011</v>
      </c>
      <c r="D10373" t="inlineStr">
        <is>
          <t>VÄSTRA GÖTALANDS LÄN</t>
        </is>
      </c>
      <c r="E10373" t="inlineStr">
        <is>
          <t>SVENLJUNGA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55110-2025</t>
        </is>
      </c>
      <c r="B10374" s="1" t="n">
        <v>45968.37740740741</v>
      </c>
      <c r="C10374" s="1" t="n">
        <v>46011</v>
      </c>
      <c r="D10374" t="inlineStr">
        <is>
          <t>VÄSTRA GÖTALANDS LÄN</t>
        </is>
      </c>
      <c r="E10374" t="inlineStr">
        <is>
          <t>MARK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55119-2025</t>
        </is>
      </c>
      <c r="B10375" s="1" t="n">
        <v>45967</v>
      </c>
      <c r="C10375" s="1" t="n">
        <v>46011</v>
      </c>
      <c r="D10375" t="inlineStr">
        <is>
          <t>VÄSTRA GÖTALANDS LÄN</t>
        </is>
      </c>
      <c r="E10375" t="inlineStr">
        <is>
          <t>ÅMÅL</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19867-2022</t>
        </is>
      </c>
      <c r="B10376" s="1" t="n">
        <v>44697.32734953704</v>
      </c>
      <c r="C10376" s="1" t="n">
        <v>46011</v>
      </c>
      <c r="D10376" t="inlineStr">
        <is>
          <t>VÄSTRA GÖTALANDS LÄN</t>
        </is>
      </c>
      <c r="E10376" t="inlineStr">
        <is>
          <t>ULRICEHAMN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8765-2022</t>
        </is>
      </c>
      <c r="B10377" s="1" t="n">
        <v>44614</v>
      </c>
      <c r="C10377" s="1" t="n">
        <v>46011</v>
      </c>
      <c r="D10377" t="inlineStr">
        <is>
          <t>VÄSTRA GÖTALANDS LÄN</t>
        </is>
      </c>
      <c r="E10377" t="inlineStr">
        <is>
          <t>GÖTENE</t>
        </is>
      </c>
      <c r="F10377" t="inlineStr">
        <is>
          <t>Kyrkan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10079-2022</t>
        </is>
      </c>
      <c r="B10378" s="1" t="n">
        <v>44621</v>
      </c>
      <c r="C10378" s="1" t="n">
        <v>46011</v>
      </c>
      <c r="D10378" t="inlineStr">
        <is>
          <t>VÄSTRA GÖTALANDS LÄN</t>
        </is>
      </c>
      <c r="E10378" t="inlineStr">
        <is>
          <t>BENGTSFORS</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20062-2025</t>
        </is>
      </c>
      <c r="B10379" s="1" t="n">
        <v>45772.42921296296</v>
      </c>
      <c r="C10379" s="1" t="n">
        <v>46011</v>
      </c>
      <c r="D10379" t="inlineStr">
        <is>
          <t>VÄSTRA GÖTALANDS LÄN</t>
        </is>
      </c>
      <c r="E10379" t="inlineStr">
        <is>
          <t>BORÅS</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10095-2022</t>
        </is>
      </c>
      <c r="B10380" s="1" t="n">
        <v>44621.69106481481</v>
      </c>
      <c r="C10380" s="1" t="n">
        <v>46011</v>
      </c>
      <c r="D10380" t="inlineStr">
        <is>
          <t>VÄSTRA GÖTALANDS LÄN</t>
        </is>
      </c>
      <c r="E10380" t="inlineStr">
        <is>
          <t>DALS-ED</t>
        </is>
      </c>
      <c r="F10380" t="inlineStr">
        <is>
          <t>Övriga Aktiebolag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63734-2023</t>
        </is>
      </c>
      <c r="B10381" s="1" t="n">
        <v>45277</v>
      </c>
      <c r="C10381" s="1" t="n">
        <v>46011</v>
      </c>
      <c r="D10381" t="inlineStr">
        <is>
          <t>VÄSTRA GÖTALANDS LÄN</t>
        </is>
      </c>
      <c r="E10381" t="inlineStr">
        <is>
          <t>HERRLJUNGA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64866-2023</t>
        </is>
      </c>
      <c r="B10382" s="1" t="n">
        <v>45282</v>
      </c>
      <c r="C10382" s="1" t="n">
        <v>46011</v>
      </c>
      <c r="D10382" t="inlineStr">
        <is>
          <t>VÄSTRA GÖTALANDS LÄN</t>
        </is>
      </c>
      <c r="E10382" t="inlineStr">
        <is>
          <t>LERUM</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11140-2024</t>
        </is>
      </c>
      <c r="B10383" s="1" t="n">
        <v>45371.45640046296</v>
      </c>
      <c r="C10383" s="1" t="n">
        <v>46011</v>
      </c>
      <c r="D10383" t="inlineStr">
        <is>
          <t>VÄSTRA GÖTALANDS LÄN</t>
        </is>
      </c>
      <c r="E10383" t="inlineStr">
        <is>
          <t>SVENLJUNGA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4442-2024</t>
        </is>
      </c>
      <c r="B10384" s="1" t="n">
        <v>45327.49081018518</v>
      </c>
      <c r="C10384" s="1" t="n">
        <v>46011</v>
      </c>
      <c r="D10384" t="inlineStr">
        <is>
          <t>VÄSTRA GÖTALANDS LÄN</t>
        </is>
      </c>
      <c r="E10384" t="inlineStr">
        <is>
          <t>HERRLJUNGA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64879-2023</t>
        </is>
      </c>
      <c r="B10385" s="1" t="n">
        <v>45282</v>
      </c>
      <c r="C10385" s="1" t="n">
        <v>46011</v>
      </c>
      <c r="D10385" t="inlineStr">
        <is>
          <t>VÄSTRA GÖTALANDS LÄN</t>
        </is>
      </c>
      <c r="E10385" t="inlineStr">
        <is>
          <t>MUNKEDAL</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39184-2022</t>
        </is>
      </c>
      <c r="B10386" s="1" t="n">
        <v>44817</v>
      </c>
      <c r="C10386" s="1" t="n">
        <v>46011</v>
      </c>
      <c r="D10386" t="inlineStr">
        <is>
          <t>VÄSTRA GÖTALANDS LÄN</t>
        </is>
      </c>
      <c r="E10386" t="inlineStr">
        <is>
          <t>TANUM</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22655-2025</t>
        </is>
      </c>
      <c r="B10387" s="1" t="n">
        <v>45789</v>
      </c>
      <c r="C10387" s="1" t="n">
        <v>46011</v>
      </c>
      <c r="D10387" t="inlineStr">
        <is>
          <t>VÄSTRA GÖTALANDS LÄN</t>
        </is>
      </c>
      <c r="E10387" t="inlineStr">
        <is>
          <t>TRANEMO</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55189-2025</t>
        </is>
      </c>
      <c r="B10388" s="1" t="n">
        <v>45968.54363425926</v>
      </c>
      <c r="C10388" s="1" t="n">
        <v>46011</v>
      </c>
      <c r="D10388" t="inlineStr">
        <is>
          <t>VÄSTRA GÖTALANDS LÄN</t>
        </is>
      </c>
      <c r="E10388" t="inlineStr">
        <is>
          <t>VÅRGÅRDA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64740-2023</t>
        </is>
      </c>
      <c r="B10389" s="1" t="n">
        <v>45281</v>
      </c>
      <c r="C10389" s="1" t="n">
        <v>46011</v>
      </c>
      <c r="D10389" t="inlineStr">
        <is>
          <t>VÄSTRA GÖTALANDS LÄN</t>
        </is>
      </c>
      <c r="E10389" t="inlineStr">
        <is>
          <t>MARK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55197-2025</t>
        </is>
      </c>
      <c r="B10390" s="1" t="n">
        <v>45968.55694444444</v>
      </c>
      <c r="C10390" s="1" t="n">
        <v>46011</v>
      </c>
      <c r="D10390" t="inlineStr">
        <is>
          <t>VÄSTRA GÖTALANDS LÄN</t>
        </is>
      </c>
      <c r="E10390" t="inlineStr">
        <is>
          <t>TRANEMO</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3881-2024</t>
        </is>
      </c>
      <c r="B10391" s="1" t="n">
        <v>45322</v>
      </c>
      <c r="C10391" s="1" t="n">
        <v>46011</v>
      </c>
      <c r="D10391" t="inlineStr">
        <is>
          <t>VÄSTRA GÖTALANDS LÄN</t>
        </is>
      </c>
      <c r="E10391" t="inlineStr">
        <is>
          <t>SVENLJUNGA</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2693-2023</t>
        </is>
      </c>
      <c r="B10392" s="1" t="n">
        <v>44944.47947916666</v>
      </c>
      <c r="C10392" s="1" t="n">
        <v>46011</v>
      </c>
      <c r="D10392" t="inlineStr">
        <is>
          <t>VÄSTRA GÖTALANDS LÄN</t>
        </is>
      </c>
      <c r="E10392" t="inlineStr">
        <is>
          <t>ULRICEHAMN</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4013-2024</t>
        </is>
      </c>
      <c r="B10393" s="1" t="n">
        <v>45323.35704861111</v>
      </c>
      <c r="C10393" s="1" t="n">
        <v>46011</v>
      </c>
      <c r="D10393" t="inlineStr">
        <is>
          <t>VÄSTRA GÖTALANDS LÄN</t>
        </is>
      </c>
      <c r="E10393" t="inlineStr">
        <is>
          <t>SVENLJUNGA</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54968-2025</t>
        </is>
      </c>
      <c r="B10394" s="1" t="n">
        <v>45967.49229166667</v>
      </c>
      <c r="C10394" s="1" t="n">
        <v>46011</v>
      </c>
      <c r="D10394" t="inlineStr">
        <is>
          <t>VÄSTRA GÖTALANDS LÄN</t>
        </is>
      </c>
      <c r="E10394" t="inlineStr">
        <is>
          <t>TIDAHOLM</t>
        </is>
      </c>
      <c r="F10394" t="inlineStr">
        <is>
          <t>Sveaskog</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34555-2024</t>
        </is>
      </c>
      <c r="B10395" s="1" t="n">
        <v>45525.9071875</v>
      </c>
      <c r="C10395" s="1" t="n">
        <v>46011</v>
      </c>
      <c r="D10395" t="inlineStr">
        <is>
          <t>VÄSTRA GÖTALANDS LÄN</t>
        </is>
      </c>
      <c r="E10395" t="inlineStr">
        <is>
          <t>STENUNGSUND</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26371-2024</t>
        </is>
      </c>
      <c r="B10396" s="1" t="n">
        <v>45469.40561342592</v>
      </c>
      <c r="C10396" s="1" t="n">
        <v>46011</v>
      </c>
      <c r="D10396" t="inlineStr">
        <is>
          <t>VÄSTRA GÖTALANDS LÄN</t>
        </is>
      </c>
      <c r="E10396" t="inlineStr">
        <is>
          <t>TANUM</t>
        </is>
      </c>
      <c r="G10396" t="n">
        <v>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63085-2025</t>
        </is>
      </c>
      <c r="B10397" s="1" t="n">
        <v>46009.67349537037</v>
      </c>
      <c r="C10397" s="1" t="n">
        <v>46011</v>
      </c>
      <c r="D10397" t="inlineStr">
        <is>
          <t>VÄSTRA GÖTALANDS LÄN</t>
        </is>
      </c>
      <c r="E10397" t="inlineStr">
        <is>
          <t>UDDEVALLA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63342-2025</t>
        </is>
      </c>
      <c r="B10398" s="1" t="n">
        <v>46010.65613425926</v>
      </c>
      <c r="C10398" s="1" t="n">
        <v>46011</v>
      </c>
      <c r="D10398" t="inlineStr">
        <is>
          <t>VÄSTRA GÖTALANDS LÄN</t>
        </is>
      </c>
      <c r="E10398" t="inlineStr">
        <is>
          <t>FALKÖPING</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59816-2021</t>
        </is>
      </c>
      <c r="B10399" s="1" t="n">
        <v>44494</v>
      </c>
      <c r="C10399" s="1" t="n">
        <v>46011</v>
      </c>
      <c r="D10399" t="inlineStr">
        <is>
          <t>VÄSTRA GÖTALANDS LÄN</t>
        </is>
      </c>
      <c r="E10399" t="inlineStr">
        <is>
          <t>BOLLEBYGD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63239-2025</t>
        </is>
      </c>
      <c r="B10400" s="1" t="n">
        <v>46010.52755787037</v>
      </c>
      <c r="C10400" s="1" t="n">
        <v>46011</v>
      </c>
      <c r="D10400" t="inlineStr">
        <is>
          <t>VÄSTRA GÖTALANDS LÄN</t>
        </is>
      </c>
      <c r="E10400" t="inlineStr">
        <is>
          <t>ALE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25165-2024</t>
        </is>
      </c>
      <c r="B10401" s="1" t="n">
        <v>45462.53766203704</v>
      </c>
      <c r="C10401" s="1" t="n">
        <v>46011</v>
      </c>
      <c r="D10401" t="inlineStr">
        <is>
          <t>VÄSTRA GÖTALANDS LÄN</t>
        </is>
      </c>
      <c r="E10401" t="inlineStr">
        <is>
          <t>BORÅS</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2301-2022</t>
        </is>
      </c>
      <c r="B10402" s="1" t="n">
        <v>44578</v>
      </c>
      <c r="C10402" s="1" t="n">
        <v>46011</v>
      </c>
      <c r="D10402" t="inlineStr">
        <is>
          <t>VÄSTRA GÖTALANDS LÄN</t>
        </is>
      </c>
      <c r="E10402" t="inlineStr">
        <is>
          <t>FÄRGELANDA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55188-2025</t>
        </is>
      </c>
      <c r="B10403" s="1" t="n">
        <v>45968.5422800926</v>
      </c>
      <c r="C10403" s="1" t="n">
        <v>46011</v>
      </c>
      <c r="D10403" t="inlineStr">
        <is>
          <t>VÄSTRA GÖTALANDS LÄN</t>
        </is>
      </c>
      <c r="E10403" t="inlineStr">
        <is>
          <t>VÅRGÅRDA</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2309-2022</t>
        </is>
      </c>
      <c r="B10404" s="1" t="n">
        <v>44578.76435185185</v>
      </c>
      <c r="C10404" s="1" t="n">
        <v>46011</v>
      </c>
      <c r="D10404" t="inlineStr">
        <is>
          <t>VÄSTRA GÖTALANDS LÄN</t>
        </is>
      </c>
      <c r="E10404" t="inlineStr">
        <is>
          <t>ULRICEHAMN</t>
        </is>
      </c>
      <c r="G10404" t="n">
        <v>8.4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27440-2022</t>
        </is>
      </c>
      <c r="B10405" s="1" t="n">
        <v>44742.55943287037</v>
      </c>
      <c r="C10405" s="1" t="n">
        <v>46011</v>
      </c>
      <c r="D10405" t="inlineStr">
        <is>
          <t>VÄSTRA GÖTALANDS LÄN</t>
        </is>
      </c>
      <c r="E10405" t="inlineStr">
        <is>
          <t>BENGTSFORS</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54941-2025</t>
        </is>
      </c>
      <c r="B10406" s="1" t="n">
        <v>45967.44065972222</v>
      </c>
      <c r="C10406" s="1" t="n">
        <v>46011</v>
      </c>
      <c r="D10406" t="inlineStr">
        <is>
          <t>VÄSTRA GÖTALANDS LÄN</t>
        </is>
      </c>
      <c r="E10406" t="inlineStr">
        <is>
          <t>TIDAHOLM</t>
        </is>
      </c>
      <c r="F10406" t="inlineStr">
        <is>
          <t>Sveaskog</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54945-2025</t>
        </is>
      </c>
      <c r="B10407" s="1" t="n">
        <v>45967.44800925926</v>
      </c>
      <c r="C10407" s="1" t="n">
        <v>46011</v>
      </c>
      <c r="D10407" t="inlineStr">
        <is>
          <t>VÄSTRA GÖTALANDS LÄN</t>
        </is>
      </c>
      <c r="E10407" t="inlineStr">
        <is>
          <t>TIDAHOLM</t>
        </is>
      </c>
      <c r="F10407" t="inlineStr">
        <is>
          <t>Sveaskog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27120-2023</t>
        </is>
      </c>
      <c r="B10408" s="1" t="n">
        <v>45096.44828703703</v>
      </c>
      <c r="C10408" s="1" t="n">
        <v>46011</v>
      </c>
      <c r="D10408" t="inlineStr">
        <is>
          <t>VÄSTRA GÖTALANDS LÄN</t>
        </is>
      </c>
      <c r="E10408" t="inlineStr">
        <is>
          <t>SKARA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63093-2025</t>
        </is>
      </c>
      <c r="B10409" s="1" t="n">
        <v>46009.68027777778</v>
      </c>
      <c r="C10409" s="1" t="n">
        <v>46011</v>
      </c>
      <c r="D10409" t="inlineStr">
        <is>
          <t>VÄSTRA GÖTALANDS LÄN</t>
        </is>
      </c>
      <c r="E10409" t="inlineStr">
        <is>
          <t>MARK</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63133-2025</t>
        </is>
      </c>
      <c r="B10410" s="1" t="n">
        <v>46010.30141203704</v>
      </c>
      <c r="C10410" s="1" t="n">
        <v>46011</v>
      </c>
      <c r="D10410" t="inlineStr">
        <is>
          <t>VÄSTRA GÖTALANDS LÄN</t>
        </is>
      </c>
      <c r="E10410" t="inlineStr">
        <is>
          <t>TÖREBODA</t>
        </is>
      </c>
      <c r="F10410" t="inlineStr">
        <is>
          <t>Sveaskog</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32195-2022</t>
        </is>
      </c>
      <c r="B10411" s="1" t="n">
        <v>44781.39569444444</v>
      </c>
      <c r="C10411" s="1" t="n">
        <v>46011</v>
      </c>
      <c r="D10411" t="inlineStr">
        <is>
          <t>VÄSTRA GÖTALANDS LÄN</t>
        </is>
      </c>
      <c r="E10411" t="inlineStr">
        <is>
          <t>DALS-ED</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40029-2023</t>
        </is>
      </c>
      <c r="B10412" s="1" t="n">
        <v>45168.65719907408</v>
      </c>
      <c r="C10412" s="1" t="n">
        <v>46011</v>
      </c>
      <c r="D10412" t="inlineStr">
        <is>
          <t>VÄSTRA GÖTALANDS LÄN</t>
        </is>
      </c>
      <c r="E10412" t="inlineStr">
        <is>
          <t>HERRLJUNGA</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40031-2023</t>
        </is>
      </c>
      <c r="B10413" s="1" t="n">
        <v>45168</v>
      </c>
      <c r="C10413" s="1" t="n">
        <v>46011</v>
      </c>
      <c r="D10413" t="inlineStr">
        <is>
          <t>VÄSTRA GÖTALANDS LÄN</t>
        </is>
      </c>
      <c r="E10413" t="inlineStr">
        <is>
          <t>ULRICEHAMN</t>
        </is>
      </c>
      <c r="G10413" t="n">
        <v>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40035-2023</t>
        </is>
      </c>
      <c r="B10414" s="1" t="n">
        <v>45168</v>
      </c>
      <c r="C10414" s="1" t="n">
        <v>46011</v>
      </c>
      <c r="D10414" t="inlineStr">
        <is>
          <t>VÄSTRA GÖTALANDS LÄN</t>
        </is>
      </c>
      <c r="E10414" t="inlineStr">
        <is>
          <t>ULRICEHAMN</t>
        </is>
      </c>
      <c r="G10414" t="n">
        <v>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54927-2025</t>
        </is>
      </c>
      <c r="B10415" s="1" t="n">
        <v>45967.40876157407</v>
      </c>
      <c r="C10415" s="1" t="n">
        <v>46011</v>
      </c>
      <c r="D10415" t="inlineStr">
        <is>
          <t>VÄSTRA GÖTALANDS LÄN</t>
        </is>
      </c>
      <c r="E10415" t="inlineStr">
        <is>
          <t>TIDAHOLM</t>
        </is>
      </c>
      <c r="F10415" t="inlineStr">
        <is>
          <t>Sveaskog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54930-2025</t>
        </is>
      </c>
      <c r="B10416" s="1" t="n">
        <v>45967.42209490741</v>
      </c>
      <c r="C10416" s="1" t="n">
        <v>46011</v>
      </c>
      <c r="D10416" t="inlineStr">
        <is>
          <t>VÄSTRA GÖTALANDS LÄN</t>
        </is>
      </c>
      <c r="E10416" t="inlineStr">
        <is>
          <t>TIDAHOLM</t>
        </is>
      </c>
      <c r="F10416" t="inlineStr">
        <is>
          <t>Sveaskog</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63052-2025</t>
        </is>
      </c>
      <c r="B10417" s="1" t="n">
        <v>46009.63135416667</v>
      </c>
      <c r="C10417" s="1" t="n">
        <v>46011</v>
      </c>
      <c r="D10417" t="inlineStr">
        <is>
          <t>VÄSTRA GÖTALANDS LÄN</t>
        </is>
      </c>
      <c r="E10417" t="inlineStr">
        <is>
          <t>SVENLJUNGA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45019-2024</t>
        </is>
      </c>
      <c r="B10418" s="1" t="n">
        <v>45575.49673611111</v>
      </c>
      <c r="C10418" s="1" t="n">
        <v>46011</v>
      </c>
      <c r="D10418" t="inlineStr">
        <is>
          <t>VÄSTRA GÖTALANDS LÄN</t>
        </is>
      </c>
      <c r="E10418" t="inlineStr">
        <is>
          <t>KARLSBORG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37110-2022</t>
        </is>
      </c>
      <c r="B10419" s="1" t="n">
        <v>44806.52619212963</v>
      </c>
      <c r="C10419" s="1" t="n">
        <v>46011</v>
      </c>
      <c r="D10419" t="inlineStr">
        <is>
          <t>VÄSTRA GÖTALANDS LÄN</t>
        </is>
      </c>
      <c r="E10419" t="inlineStr">
        <is>
          <t>SVENLJUNGA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55243-2025</t>
        </is>
      </c>
      <c r="B10420" s="1" t="n">
        <v>45968.62002314815</v>
      </c>
      <c r="C10420" s="1" t="n">
        <v>46011</v>
      </c>
      <c r="D10420" t="inlineStr">
        <is>
          <t>VÄSTRA GÖTALANDS LÄN</t>
        </is>
      </c>
      <c r="E10420" t="inlineStr">
        <is>
          <t>TIDAHOLM</t>
        </is>
      </c>
      <c r="F10420" t="inlineStr">
        <is>
          <t>Sveaskog</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46379-2025</t>
        </is>
      </c>
      <c r="B10421" s="1" t="n">
        <v>45925</v>
      </c>
      <c r="C10421" s="1" t="n">
        <v>46011</v>
      </c>
      <c r="D10421" t="inlineStr">
        <is>
          <t>VÄSTRA GÖTALANDS LÄN</t>
        </is>
      </c>
      <c r="E10421" t="inlineStr">
        <is>
          <t>MÖLNDAL</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42446-2023</t>
        </is>
      </c>
      <c r="B10422" s="1" t="n">
        <v>45180</v>
      </c>
      <c r="C10422" s="1" t="n">
        <v>46011</v>
      </c>
      <c r="D10422" t="inlineStr">
        <is>
          <t>VÄSTRA GÖTALANDS LÄN</t>
        </is>
      </c>
      <c r="E10422" t="inlineStr">
        <is>
          <t>ALE</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54957-2025</t>
        </is>
      </c>
      <c r="B10423" s="1" t="n">
        <v>45967.47391203704</v>
      </c>
      <c r="C10423" s="1" t="n">
        <v>46011</v>
      </c>
      <c r="D10423" t="inlineStr">
        <is>
          <t>VÄSTRA GÖTALANDS LÄN</t>
        </is>
      </c>
      <c r="E10423" t="inlineStr">
        <is>
          <t>TIDAHOLM</t>
        </is>
      </c>
      <c r="F10423" t="inlineStr">
        <is>
          <t>Sveaskog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54974-2025</t>
        </is>
      </c>
      <c r="B10424" s="1" t="n">
        <v>45967.50334490741</v>
      </c>
      <c r="C10424" s="1" t="n">
        <v>46011</v>
      </c>
      <c r="D10424" t="inlineStr">
        <is>
          <t>VÄSTRA GÖTALANDS LÄN</t>
        </is>
      </c>
      <c r="E10424" t="inlineStr">
        <is>
          <t>TIDAHOLM</t>
        </is>
      </c>
      <c r="F10424" t="inlineStr">
        <is>
          <t>Sveaskog</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9991-2024</t>
        </is>
      </c>
      <c r="B10425" s="1" t="n">
        <v>45363</v>
      </c>
      <c r="C10425" s="1" t="n">
        <v>46011</v>
      </c>
      <c r="D10425" t="inlineStr">
        <is>
          <t>VÄSTRA GÖTALANDS LÄN</t>
        </is>
      </c>
      <c r="E10425" t="inlineStr">
        <is>
          <t>TRANEMO</t>
        </is>
      </c>
      <c r="F10425" t="inlineStr">
        <is>
          <t>Kyrkan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34531-2024</t>
        </is>
      </c>
      <c r="B10426" s="1" t="n">
        <v>45525.70528935185</v>
      </c>
      <c r="C10426" s="1" t="n">
        <v>46011</v>
      </c>
      <c r="D10426" t="inlineStr">
        <is>
          <t>VÄSTRA GÖTALANDS LÄN</t>
        </is>
      </c>
      <c r="E10426" t="inlineStr">
        <is>
          <t>MARK</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35255-2024</t>
        </is>
      </c>
      <c r="B10427" s="1" t="n">
        <v>45530</v>
      </c>
      <c r="C10427" s="1" t="n">
        <v>46011</v>
      </c>
      <c r="D10427" t="inlineStr">
        <is>
          <t>VÄSTRA GÖTALANDS LÄN</t>
        </is>
      </c>
      <c r="E10427" t="inlineStr">
        <is>
          <t>SVENLJUNGA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29980-2024</t>
        </is>
      </c>
      <c r="B10428" s="1" t="n">
        <v>45488.48725694444</v>
      </c>
      <c r="C10428" s="1" t="n">
        <v>46011</v>
      </c>
      <c r="D10428" t="inlineStr">
        <is>
          <t>VÄSTRA GÖTALANDS LÄN</t>
        </is>
      </c>
      <c r="E10428" t="inlineStr">
        <is>
          <t>TANUM</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21232-2023</t>
        </is>
      </c>
      <c r="B10429" s="1" t="n">
        <v>45062.54716435185</v>
      </c>
      <c r="C10429" s="1" t="n">
        <v>46011</v>
      </c>
      <c r="D10429" t="inlineStr">
        <is>
          <t>VÄSTRA GÖTALANDS LÄN</t>
        </is>
      </c>
      <c r="E10429" t="inlineStr">
        <is>
          <t>VÅRGÅRDA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61946-2025</t>
        </is>
      </c>
      <c r="B10430" s="1" t="n">
        <v>46003</v>
      </c>
      <c r="C10430" s="1" t="n">
        <v>46011</v>
      </c>
      <c r="D10430" t="inlineStr">
        <is>
          <t>VÄSTRA GÖTALANDS LÄN</t>
        </is>
      </c>
      <c r="E10430" t="inlineStr">
        <is>
          <t>MARK</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21259-2023</t>
        </is>
      </c>
      <c r="B10431" s="1" t="n">
        <v>45062</v>
      </c>
      <c r="C10431" s="1" t="n">
        <v>46011</v>
      </c>
      <c r="D10431" t="inlineStr">
        <is>
          <t>VÄSTRA GÖTALANDS LÄN</t>
        </is>
      </c>
      <c r="E10431" t="inlineStr">
        <is>
          <t>SVENLJUNGA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21311-2023</t>
        </is>
      </c>
      <c r="B10432" s="1" t="n">
        <v>45062</v>
      </c>
      <c r="C10432" s="1" t="n">
        <v>46011</v>
      </c>
      <c r="D10432" t="inlineStr">
        <is>
          <t>VÄSTRA GÖTALANDS LÄN</t>
        </is>
      </c>
      <c r="E10432" t="inlineStr">
        <is>
          <t>FÄRGELANDA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17914-2024</t>
        </is>
      </c>
      <c r="B10433" s="1" t="n">
        <v>45419.52296296296</v>
      </c>
      <c r="C10433" s="1" t="n">
        <v>46011</v>
      </c>
      <c r="D10433" t="inlineStr">
        <is>
          <t>VÄSTRA GÖTALANDS LÄN</t>
        </is>
      </c>
      <c r="E10433" t="inlineStr">
        <is>
          <t>MUNKEDAL</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38182-2023</t>
        </is>
      </c>
      <c r="B10434" s="1" t="n">
        <v>45161.46265046296</v>
      </c>
      <c r="C10434" s="1" t="n">
        <v>46011</v>
      </c>
      <c r="D10434" t="inlineStr">
        <is>
          <t>VÄSTRA GÖTALANDS LÄN</t>
        </is>
      </c>
      <c r="E10434" t="inlineStr">
        <is>
          <t>ULRICEHAMN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38186-2023</t>
        </is>
      </c>
      <c r="B10435" s="1" t="n">
        <v>45161</v>
      </c>
      <c r="C10435" s="1" t="n">
        <v>46011</v>
      </c>
      <c r="D10435" t="inlineStr">
        <is>
          <t>VÄSTRA GÖTALANDS LÄN</t>
        </is>
      </c>
      <c r="E10435" t="inlineStr">
        <is>
          <t>HJO</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21331-2023</t>
        </is>
      </c>
      <c r="B10436" s="1" t="n">
        <v>45062</v>
      </c>
      <c r="C10436" s="1" t="n">
        <v>46011</v>
      </c>
      <c r="D10436" t="inlineStr">
        <is>
          <t>VÄSTRA GÖTALANDS LÄN</t>
        </is>
      </c>
      <c r="E10436" t="inlineStr">
        <is>
          <t>BORÅS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30626-2023</t>
        </is>
      </c>
      <c r="B10437" s="1" t="n">
        <v>45112</v>
      </c>
      <c r="C10437" s="1" t="n">
        <v>46011</v>
      </c>
      <c r="D10437" t="inlineStr">
        <is>
          <t>VÄSTRA GÖTALANDS LÄN</t>
        </is>
      </c>
      <c r="E10437" t="inlineStr">
        <is>
          <t>FALKÖPING</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54918-2025</t>
        </is>
      </c>
      <c r="B10438" s="1" t="n">
        <v>45967.38813657407</v>
      </c>
      <c r="C10438" s="1" t="n">
        <v>46011</v>
      </c>
      <c r="D10438" t="inlineStr">
        <is>
          <t>VÄSTRA GÖTALANDS LÄN</t>
        </is>
      </c>
      <c r="E10438" t="inlineStr">
        <is>
          <t>TIDAHOLM</t>
        </is>
      </c>
      <c r="F10438" t="inlineStr">
        <is>
          <t>Sveaskog</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38800-2023</t>
        </is>
      </c>
      <c r="B10439" s="1" t="n">
        <v>45163.45347222222</v>
      </c>
      <c r="C10439" s="1" t="n">
        <v>46011</v>
      </c>
      <c r="D10439" t="inlineStr">
        <is>
          <t>VÄSTRA GÖTALANDS LÄN</t>
        </is>
      </c>
      <c r="E10439" t="inlineStr">
        <is>
          <t>MARIESTAD</t>
        </is>
      </c>
      <c r="F10439" t="inlineStr">
        <is>
          <t>Sveaskog</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1453-2024</t>
        </is>
      </c>
      <c r="B10440" s="1" t="n">
        <v>45303.82884259259</v>
      </c>
      <c r="C10440" s="1" t="n">
        <v>46011</v>
      </c>
      <c r="D10440" t="inlineStr">
        <is>
          <t>VÄSTRA GÖTALANDS LÄN</t>
        </is>
      </c>
      <c r="E10440" t="inlineStr">
        <is>
          <t>MARK</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55270-2025</t>
        </is>
      </c>
      <c r="B10441" s="1" t="n">
        <v>45968.67233796296</v>
      </c>
      <c r="C10441" s="1" t="n">
        <v>46011</v>
      </c>
      <c r="D10441" t="inlineStr">
        <is>
          <t>VÄSTRA GÖTALANDS LÄN</t>
        </is>
      </c>
      <c r="E10441" t="inlineStr">
        <is>
          <t>ULRICEHAMN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54863-2025</t>
        </is>
      </c>
      <c r="B10442" s="1" t="n">
        <v>45966.77891203704</v>
      </c>
      <c r="C10442" s="1" t="n">
        <v>46011</v>
      </c>
      <c r="D10442" t="inlineStr">
        <is>
          <t>VÄSTRA GÖTALANDS LÄN</t>
        </is>
      </c>
      <c r="E10442" t="inlineStr">
        <is>
          <t>VÄNERSBORG</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39423-2023</t>
        </is>
      </c>
      <c r="B10443" s="1" t="n">
        <v>45163</v>
      </c>
      <c r="C10443" s="1" t="n">
        <v>46011</v>
      </c>
      <c r="D10443" t="inlineStr">
        <is>
          <t>VÄSTRA GÖTALANDS LÄN</t>
        </is>
      </c>
      <c r="E10443" t="inlineStr">
        <is>
          <t>HERRLJUNGA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62952-2025</t>
        </is>
      </c>
      <c r="B10444" s="1" t="n">
        <v>46009.44938657407</v>
      </c>
      <c r="C10444" s="1" t="n">
        <v>46011</v>
      </c>
      <c r="D10444" t="inlineStr">
        <is>
          <t>VÄSTRA GÖTALANDS LÄN</t>
        </is>
      </c>
      <c r="E10444" t="inlineStr">
        <is>
          <t>ÅMÅL</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66109-2021</t>
        </is>
      </c>
      <c r="B10445" s="1" t="n">
        <v>44517</v>
      </c>
      <c r="C10445" s="1" t="n">
        <v>46011</v>
      </c>
      <c r="D10445" t="inlineStr">
        <is>
          <t>VÄSTRA GÖTALANDS LÄN</t>
        </is>
      </c>
      <c r="E10445" t="inlineStr">
        <is>
          <t>SVENLJUNGA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63249-2025</t>
        </is>
      </c>
      <c r="B10446" s="1" t="n">
        <v>46010.54299768519</v>
      </c>
      <c r="C10446" s="1" t="n">
        <v>46011</v>
      </c>
      <c r="D10446" t="inlineStr">
        <is>
          <t>VÄSTRA GÖTALANDS LÄN</t>
        </is>
      </c>
      <c r="E10446" t="inlineStr">
        <is>
          <t>MELLERUD</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35201-2023</t>
        </is>
      </c>
      <c r="B10447" s="1" t="n">
        <v>45145.62370370371</v>
      </c>
      <c r="C10447" s="1" t="n">
        <v>46011</v>
      </c>
      <c r="D10447" t="inlineStr">
        <is>
          <t>VÄSTRA GÖTALANDS LÄN</t>
        </is>
      </c>
      <c r="E10447" t="inlineStr">
        <is>
          <t>TANUM</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35238-2023</t>
        </is>
      </c>
      <c r="B10448" s="1" t="n">
        <v>45145.74743055556</v>
      </c>
      <c r="C10448" s="1" t="n">
        <v>46011</v>
      </c>
      <c r="D10448" t="inlineStr">
        <is>
          <t>VÄSTRA GÖTALANDS LÄN</t>
        </is>
      </c>
      <c r="E10448" t="inlineStr">
        <is>
          <t>TÖREBODA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19802-2023</t>
        </is>
      </c>
      <c r="B10449" s="1" t="n">
        <v>45051.6987037037</v>
      </c>
      <c r="C10449" s="1" t="n">
        <v>46011</v>
      </c>
      <c r="D10449" t="inlineStr">
        <is>
          <t>VÄSTRA GÖTALANDS LÄN</t>
        </is>
      </c>
      <c r="E10449" t="inlineStr">
        <is>
          <t>HERRLJUNGA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31321-2025</t>
        </is>
      </c>
      <c r="B10450" s="1" t="n">
        <v>45833</v>
      </c>
      <c r="C10450" s="1" t="n">
        <v>46011</v>
      </c>
      <c r="D10450" t="inlineStr">
        <is>
          <t>VÄSTRA GÖTALANDS LÄN</t>
        </is>
      </c>
      <c r="E10450" t="inlineStr">
        <is>
          <t>MÖLNDAL</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38640-2023</t>
        </is>
      </c>
      <c r="B10451" s="1" t="n">
        <v>45162</v>
      </c>
      <c r="C10451" s="1" t="n">
        <v>46011</v>
      </c>
      <c r="D10451" t="inlineStr">
        <is>
          <t>VÄSTRA GÖTALANDS LÄN</t>
        </is>
      </c>
      <c r="E10451" t="inlineStr">
        <is>
          <t>ULRICEHAMN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69483-2020</t>
        </is>
      </c>
      <c r="B10452" s="1" t="n">
        <v>44194</v>
      </c>
      <c r="C10452" s="1" t="n">
        <v>46011</v>
      </c>
      <c r="D10452" t="inlineStr">
        <is>
          <t>VÄSTRA GÖTALANDS LÄN</t>
        </is>
      </c>
      <c r="E10452" t="inlineStr">
        <is>
          <t>KARLSBORG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48265-2025</t>
        </is>
      </c>
      <c r="B10453" s="1" t="n">
        <v>45933</v>
      </c>
      <c r="C10453" s="1" t="n">
        <v>46011</v>
      </c>
      <c r="D10453" t="inlineStr">
        <is>
          <t>VÄSTRA GÖTALANDS LÄN</t>
        </is>
      </c>
      <c r="E10453" t="inlineStr">
        <is>
          <t>MÖLNDAL</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51886-2021</t>
        </is>
      </c>
      <c r="B10454" s="1" t="n">
        <v>44462.82854166667</v>
      </c>
      <c r="C10454" s="1" t="n">
        <v>46011</v>
      </c>
      <c r="D10454" t="inlineStr">
        <is>
          <t>VÄSTRA GÖTALANDS LÄN</t>
        </is>
      </c>
      <c r="E10454" t="inlineStr">
        <is>
          <t>SKÖVDE</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69543-2020</t>
        </is>
      </c>
      <c r="B10455" s="1" t="n">
        <v>44194</v>
      </c>
      <c r="C10455" s="1" t="n">
        <v>46011</v>
      </c>
      <c r="D10455" t="inlineStr">
        <is>
          <t>VÄSTRA GÖTALANDS LÄN</t>
        </is>
      </c>
      <c r="E10455" t="inlineStr">
        <is>
          <t>BORÅS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72223-2021</t>
        </is>
      </c>
      <c r="B10456" s="1" t="n">
        <v>44544.79592592592</v>
      </c>
      <c r="C10456" s="1" t="n">
        <v>46011</v>
      </c>
      <c r="D10456" t="inlineStr">
        <is>
          <t>VÄSTRA GÖTALANDS LÄN</t>
        </is>
      </c>
      <c r="E10456" t="inlineStr">
        <is>
          <t>TANUM</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12075-2023</t>
        </is>
      </c>
      <c r="B10457" s="1" t="n">
        <v>44997.43748842592</v>
      </c>
      <c r="C10457" s="1" t="n">
        <v>46011</v>
      </c>
      <c r="D10457" t="inlineStr">
        <is>
          <t>VÄSTRA GÖTALANDS LÄN</t>
        </is>
      </c>
      <c r="E10457" t="inlineStr">
        <is>
          <t>BENGTSFORS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5808-2024</t>
        </is>
      </c>
      <c r="B10458" s="1" t="n">
        <v>45335.50540509259</v>
      </c>
      <c r="C10458" s="1" t="n">
        <v>46011</v>
      </c>
      <c r="D10458" t="inlineStr">
        <is>
          <t>VÄSTRA GÖTALANDS LÄN</t>
        </is>
      </c>
      <c r="E10458" t="inlineStr">
        <is>
          <t>ALINGSÅS</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5810-2024</t>
        </is>
      </c>
      <c r="B10459" s="1" t="n">
        <v>45335</v>
      </c>
      <c r="C10459" s="1" t="n">
        <v>46011</v>
      </c>
      <c r="D10459" t="inlineStr">
        <is>
          <t>VÄSTRA GÖTALANDS LÄN</t>
        </is>
      </c>
      <c r="E10459" t="inlineStr">
        <is>
          <t>ALINGSÅS</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5823-2024</t>
        </is>
      </c>
      <c r="B10460" s="1" t="n">
        <v>45335.55476851852</v>
      </c>
      <c r="C10460" s="1" t="n">
        <v>46011</v>
      </c>
      <c r="D10460" t="inlineStr">
        <is>
          <t>VÄSTRA GÖTALANDS LÄN</t>
        </is>
      </c>
      <c r="E10460" t="inlineStr">
        <is>
          <t>GULLSPÅNG</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64083-2023</t>
        </is>
      </c>
      <c r="B10461" s="1" t="n">
        <v>45279</v>
      </c>
      <c r="C10461" s="1" t="n">
        <v>46011</v>
      </c>
      <c r="D10461" t="inlineStr">
        <is>
          <t>VÄSTRA GÖTALANDS LÄN</t>
        </is>
      </c>
      <c r="E10461" t="inlineStr">
        <is>
          <t>UDDEVALLA</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13109-2023</t>
        </is>
      </c>
      <c r="B10462" s="1" t="n">
        <v>45002</v>
      </c>
      <c r="C10462" s="1" t="n">
        <v>46011</v>
      </c>
      <c r="D10462" t="inlineStr">
        <is>
          <t>VÄSTRA GÖTALANDS LÄN</t>
        </is>
      </c>
      <c r="E10462" t="inlineStr">
        <is>
          <t>STRÖMSTAD</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13134-2023</t>
        </is>
      </c>
      <c r="B10463" s="1" t="n">
        <v>45002.52252314815</v>
      </c>
      <c r="C10463" s="1" t="n">
        <v>46011</v>
      </c>
      <c r="D10463" t="inlineStr">
        <is>
          <t>VÄSTRA GÖTALANDS LÄN</t>
        </is>
      </c>
      <c r="E10463" t="inlineStr">
        <is>
          <t>TRANEMO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13161-2023</t>
        </is>
      </c>
      <c r="B10464" s="1" t="n">
        <v>45002</v>
      </c>
      <c r="C10464" s="1" t="n">
        <v>46011</v>
      </c>
      <c r="D10464" t="inlineStr">
        <is>
          <t>VÄSTRA GÖTALANDS LÄN</t>
        </is>
      </c>
      <c r="E10464" t="inlineStr">
        <is>
          <t>SVENLJUNGA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9756-2024</t>
        </is>
      </c>
      <c r="B10465" s="1" t="n">
        <v>45362</v>
      </c>
      <c r="C10465" s="1" t="n">
        <v>46011</v>
      </c>
      <c r="D10465" t="inlineStr">
        <is>
          <t>VÄSTRA GÖTALANDS LÄN</t>
        </is>
      </c>
      <c r="E10465" t="inlineStr">
        <is>
          <t>TRANEMO</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38941-2023</t>
        </is>
      </c>
      <c r="B10466" s="1" t="n">
        <v>45163</v>
      </c>
      <c r="C10466" s="1" t="n">
        <v>46011</v>
      </c>
      <c r="D10466" t="inlineStr">
        <is>
          <t>VÄSTRA GÖTALANDS LÄN</t>
        </is>
      </c>
      <c r="E10466" t="inlineStr">
        <is>
          <t>TROLLHÄTTAN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62909-2025</t>
        </is>
      </c>
      <c r="B10467" s="1" t="n">
        <v>46009.36478009259</v>
      </c>
      <c r="C10467" s="1" t="n">
        <v>46011</v>
      </c>
      <c r="D10467" t="inlineStr">
        <is>
          <t>VÄSTRA GÖTALANDS LÄN</t>
        </is>
      </c>
      <c r="E10467" t="inlineStr">
        <is>
          <t>TROLLHÄTTAN</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62915-2025</t>
        </is>
      </c>
      <c r="B10468" s="1" t="n">
        <v>46009.36930555556</v>
      </c>
      <c r="C10468" s="1" t="n">
        <v>46011</v>
      </c>
      <c r="D10468" t="inlineStr">
        <is>
          <t>VÄSTRA GÖTALANDS LÄN</t>
        </is>
      </c>
      <c r="E10468" t="inlineStr">
        <is>
          <t>TROLLHÄTTAN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62920-2025</t>
        </is>
      </c>
      <c r="B10469" s="1" t="n">
        <v>46009.37592592592</v>
      </c>
      <c r="C10469" s="1" t="n">
        <v>46011</v>
      </c>
      <c r="D10469" t="inlineStr">
        <is>
          <t>VÄSTRA GÖTALANDS LÄN</t>
        </is>
      </c>
      <c r="E10469" t="inlineStr">
        <is>
          <t>ULRICEHAMN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17143-2024</t>
        </is>
      </c>
      <c r="B10470" s="1" t="n">
        <v>45412.63918981481</v>
      </c>
      <c r="C10470" s="1" t="n">
        <v>46011</v>
      </c>
      <c r="D10470" t="inlineStr">
        <is>
          <t>VÄSTRA GÖTALANDS LÄN</t>
        </is>
      </c>
      <c r="E10470" t="inlineStr">
        <is>
          <t>MARIESTAD</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17166-2024</t>
        </is>
      </c>
      <c r="B10471" s="1" t="n">
        <v>45412.85439814815</v>
      </c>
      <c r="C10471" s="1" t="n">
        <v>46011</v>
      </c>
      <c r="D10471" t="inlineStr">
        <is>
          <t>VÄSTRA GÖTALANDS LÄN</t>
        </is>
      </c>
      <c r="E10471" t="inlineStr">
        <is>
          <t>MARIESTAD</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62980-2025</t>
        </is>
      </c>
      <c r="B10472" s="1" t="n">
        <v>46009.489375</v>
      </c>
      <c r="C10472" s="1" t="n">
        <v>46011</v>
      </c>
      <c r="D10472" t="inlineStr">
        <is>
          <t>VÄSTRA GÖTALANDS LÄN</t>
        </is>
      </c>
      <c r="E10472" t="inlineStr">
        <is>
          <t>TÖREBODA</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13581-2023</t>
        </is>
      </c>
      <c r="B10473" s="1" t="n">
        <v>45006.54443287037</v>
      </c>
      <c r="C10473" s="1" t="n">
        <v>46011</v>
      </c>
      <c r="D10473" t="inlineStr">
        <is>
          <t>VÄSTRA GÖTALANDS LÄN</t>
        </is>
      </c>
      <c r="E10473" t="inlineStr">
        <is>
          <t>LILLA EDET</t>
        </is>
      </c>
      <c r="F10473" t="inlineStr">
        <is>
          <t>Kommuner</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13588-2023</t>
        </is>
      </c>
      <c r="B10474" s="1" t="n">
        <v>45006.5583449074</v>
      </c>
      <c r="C10474" s="1" t="n">
        <v>46011</v>
      </c>
      <c r="D10474" t="inlineStr">
        <is>
          <t>VÄSTRA GÖTALANDS LÄN</t>
        </is>
      </c>
      <c r="E10474" t="inlineStr">
        <is>
          <t>TIDAHOLM</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17229-2024</t>
        </is>
      </c>
      <c r="B10475" s="1" t="n">
        <v>45414.36018518519</v>
      </c>
      <c r="C10475" s="1" t="n">
        <v>46011</v>
      </c>
      <c r="D10475" t="inlineStr">
        <is>
          <t>VÄSTRA GÖTALANDS LÄN</t>
        </is>
      </c>
      <c r="E10475" t="inlineStr">
        <is>
          <t>HERRLJUNGA</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55087-2025</t>
        </is>
      </c>
      <c r="B10476" s="1" t="n">
        <v>45968.33152777778</v>
      </c>
      <c r="C10476" s="1" t="n">
        <v>46011</v>
      </c>
      <c r="D10476" t="inlineStr">
        <is>
          <t>VÄSTRA GÖTALANDS LÄN</t>
        </is>
      </c>
      <c r="E10476" t="inlineStr">
        <is>
          <t>FÄRGELANDA</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63334-2025</t>
        </is>
      </c>
      <c r="B10477" s="1" t="n">
        <v>46010.64409722222</v>
      </c>
      <c r="C10477" s="1" t="n">
        <v>46011</v>
      </c>
      <c r="D10477" t="inlineStr">
        <is>
          <t>VÄSTRA GÖTALANDS LÄN</t>
        </is>
      </c>
      <c r="E10477" t="inlineStr">
        <is>
          <t>FALKÖPING</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22202-2024</t>
        </is>
      </c>
      <c r="B10478" s="1" t="n">
        <v>45446.37318287037</v>
      </c>
      <c r="C10478" s="1" t="n">
        <v>46011</v>
      </c>
      <c r="D10478" t="inlineStr">
        <is>
          <t>VÄSTRA GÖTALANDS LÄN</t>
        </is>
      </c>
      <c r="E10478" t="inlineStr">
        <is>
          <t>VÅRGÅRDA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38355-2024</t>
        </is>
      </c>
      <c r="B10479" s="1" t="n">
        <v>45545.75199074074</v>
      </c>
      <c r="C10479" s="1" t="n">
        <v>46011</v>
      </c>
      <c r="D10479" t="inlineStr">
        <is>
          <t>VÄSTRA GÖTALANDS LÄN</t>
        </is>
      </c>
      <c r="E10479" t="inlineStr">
        <is>
          <t>BORÅS</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38357-2024</t>
        </is>
      </c>
      <c r="B10480" s="1" t="n">
        <v>45545.7605787037</v>
      </c>
      <c r="C10480" s="1" t="n">
        <v>46011</v>
      </c>
      <c r="D10480" t="inlineStr">
        <is>
          <t>VÄSTRA GÖTALANDS LÄN</t>
        </is>
      </c>
      <c r="E10480" t="inlineStr">
        <is>
          <t>MARK</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38360-2024</t>
        </is>
      </c>
      <c r="B10481" s="1" t="n">
        <v>45545.79484953704</v>
      </c>
      <c r="C10481" s="1" t="n">
        <v>46011</v>
      </c>
      <c r="D10481" t="inlineStr">
        <is>
          <t>VÄSTRA GÖTALANDS LÄN</t>
        </is>
      </c>
      <c r="E10481" t="inlineStr">
        <is>
          <t>VÄNERSBORG</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67160-2021</t>
        </is>
      </c>
      <c r="B10482" s="1" t="n">
        <v>44523</v>
      </c>
      <c r="C10482" s="1" t="n">
        <v>46011</v>
      </c>
      <c r="D10482" t="inlineStr">
        <is>
          <t>VÄSTRA GÖTALANDS LÄN</t>
        </is>
      </c>
      <c r="E10482" t="inlineStr">
        <is>
          <t>ALE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16275-2025</t>
        </is>
      </c>
      <c r="B10483" s="1" t="n">
        <v>45750.98498842592</v>
      </c>
      <c r="C10483" s="1" t="n">
        <v>46011</v>
      </c>
      <c r="D10483" t="inlineStr">
        <is>
          <t>VÄSTRA GÖTALANDS LÄN</t>
        </is>
      </c>
      <c r="E10483" t="inlineStr">
        <is>
          <t>ULRICEHAMN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52336-2025</t>
        </is>
      </c>
      <c r="B10484" s="1" t="n">
        <v>45953</v>
      </c>
      <c r="C10484" s="1" t="n">
        <v>46011</v>
      </c>
      <c r="D10484" t="inlineStr">
        <is>
          <t>VÄSTRA GÖTALANDS LÄN</t>
        </is>
      </c>
      <c r="E10484" t="inlineStr">
        <is>
          <t>MUNKEDAL</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6841-2023</t>
        </is>
      </c>
      <c r="B10485" s="1" t="n">
        <v>44964</v>
      </c>
      <c r="C10485" s="1" t="n">
        <v>46011</v>
      </c>
      <c r="D10485" t="inlineStr">
        <is>
          <t>VÄSTRA GÖTALANDS LÄN</t>
        </is>
      </c>
      <c r="E10485" t="inlineStr">
        <is>
          <t>TANUM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6875-2023</t>
        </is>
      </c>
      <c r="B10486" s="1" t="n">
        <v>44964</v>
      </c>
      <c r="C10486" s="1" t="n">
        <v>46011</v>
      </c>
      <c r="D10486" t="inlineStr">
        <is>
          <t>VÄSTRA GÖTALANDS LÄN</t>
        </is>
      </c>
      <c r="E10486" t="inlineStr">
        <is>
          <t>SVENLJUNGA</t>
        </is>
      </c>
      <c r="F10486" t="inlineStr">
        <is>
          <t>Kyrkan</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6887-2023</t>
        </is>
      </c>
      <c r="B10487" s="1" t="n">
        <v>44967</v>
      </c>
      <c r="C10487" s="1" t="n">
        <v>46011</v>
      </c>
      <c r="D10487" t="inlineStr">
        <is>
          <t>VÄSTRA GÖTALANDS LÄN</t>
        </is>
      </c>
      <c r="E10487" t="inlineStr">
        <is>
          <t>UDDEVALLA</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62586-2023</t>
        </is>
      </c>
      <c r="B10488" s="1" t="n">
        <v>45270.77712962963</v>
      </c>
      <c r="C10488" s="1" t="n">
        <v>46011</v>
      </c>
      <c r="D10488" t="inlineStr">
        <is>
          <t>VÄSTRA GÖTALANDS LÄN</t>
        </is>
      </c>
      <c r="E10488" t="inlineStr">
        <is>
          <t>TRANEMO</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27153-2023</t>
        </is>
      </c>
      <c r="B10489" s="1" t="n">
        <v>45096.47690972222</v>
      </c>
      <c r="C10489" s="1" t="n">
        <v>46011</v>
      </c>
      <c r="D10489" t="inlineStr">
        <is>
          <t>VÄSTRA GÖTALANDS LÄN</t>
        </is>
      </c>
      <c r="E10489" t="inlineStr">
        <is>
          <t>TRANEMO</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27181-2023</t>
        </is>
      </c>
      <c r="B10490" s="1" t="n">
        <v>45096.52827546297</v>
      </c>
      <c r="C10490" s="1" t="n">
        <v>46011</v>
      </c>
      <c r="D10490" t="inlineStr">
        <is>
          <t>VÄSTRA GÖTALANDS LÄN</t>
        </is>
      </c>
      <c r="E10490" t="inlineStr">
        <is>
          <t>VÄNERSBORG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52879-2024</t>
        </is>
      </c>
      <c r="B10491" s="1" t="n">
        <v>45610.63946759259</v>
      </c>
      <c r="C10491" s="1" t="n">
        <v>46011</v>
      </c>
      <c r="D10491" t="inlineStr">
        <is>
          <t>VÄSTRA GÖTALANDS LÄN</t>
        </is>
      </c>
      <c r="E10491" t="inlineStr">
        <is>
          <t>VARA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48082-2024</t>
        </is>
      </c>
      <c r="B10492" s="1" t="n">
        <v>45589.58722222222</v>
      </c>
      <c r="C10492" s="1" t="n">
        <v>46011</v>
      </c>
      <c r="D10492" t="inlineStr">
        <is>
          <t>VÄSTRA GÖTALANDS LÄN</t>
        </is>
      </c>
      <c r="E10492" t="inlineStr">
        <is>
          <t>ALINGSÅS</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7505-2024</t>
        </is>
      </c>
      <c r="B10493" s="1" t="n">
        <v>45347.93181712963</v>
      </c>
      <c r="C10493" s="1" t="n">
        <v>46011</v>
      </c>
      <c r="D10493" t="inlineStr">
        <is>
          <t>VÄSTRA GÖTALANDS LÄN</t>
        </is>
      </c>
      <c r="E10493" t="inlineStr">
        <is>
          <t>KUNGÄLV</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30473-2023</t>
        </is>
      </c>
      <c r="B10494" s="1" t="n">
        <v>45111</v>
      </c>
      <c r="C10494" s="1" t="n">
        <v>46011</v>
      </c>
      <c r="D10494" t="inlineStr">
        <is>
          <t>VÄSTRA GÖTALANDS LÄN</t>
        </is>
      </c>
      <c r="E10494" t="inlineStr">
        <is>
          <t>SVENLJUNGA</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7527-2024</t>
        </is>
      </c>
      <c r="B10495" s="1" t="n">
        <v>45348</v>
      </c>
      <c r="C10495" s="1" t="n">
        <v>46011</v>
      </c>
      <c r="D10495" t="inlineStr">
        <is>
          <t>VÄSTRA GÖTALANDS LÄN</t>
        </is>
      </c>
      <c r="E10495" t="inlineStr">
        <is>
          <t>DALS-ED</t>
        </is>
      </c>
      <c r="G10495" t="n">
        <v>8.1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30484-2023</t>
        </is>
      </c>
      <c r="B10496" s="1" t="n">
        <v>45111.60274305556</v>
      </c>
      <c r="C10496" s="1" t="n">
        <v>46011</v>
      </c>
      <c r="D10496" t="inlineStr">
        <is>
          <t>VÄSTRA GÖTALANDS LÄN</t>
        </is>
      </c>
      <c r="E10496" t="inlineStr">
        <is>
          <t>LIDKÖPING</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7554-2024</t>
        </is>
      </c>
      <c r="B10497" s="1" t="n">
        <v>45348</v>
      </c>
      <c r="C10497" s="1" t="n">
        <v>46011</v>
      </c>
      <c r="D10497" t="inlineStr">
        <is>
          <t>VÄSTRA GÖTALANDS LÄN</t>
        </is>
      </c>
      <c r="E10497" t="inlineStr">
        <is>
          <t>MUNKEDAL</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56130-2022</t>
        </is>
      </c>
      <c r="B10498" s="1" t="n">
        <v>44886</v>
      </c>
      <c r="C10498" s="1" t="n">
        <v>46011</v>
      </c>
      <c r="D10498" t="inlineStr">
        <is>
          <t>VÄSTRA GÖTALANDS LÄN</t>
        </is>
      </c>
      <c r="E10498" t="inlineStr">
        <is>
          <t>STRÖMSTAD</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60380-2022</t>
        </is>
      </c>
      <c r="B10499" s="1" t="n">
        <v>44910.69658564815</v>
      </c>
      <c r="C10499" s="1" t="n">
        <v>46011</v>
      </c>
      <c r="D10499" t="inlineStr">
        <is>
          <t>VÄSTRA GÖTALANDS LÄN</t>
        </is>
      </c>
      <c r="E10499" t="inlineStr">
        <is>
          <t>VÅRGÅRDA</t>
        </is>
      </c>
      <c r="G10499" t="n">
        <v>0</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178-2024</t>
        </is>
      </c>
      <c r="B10500" s="1" t="n">
        <v>45294</v>
      </c>
      <c r="C10500" s="1" t="n">
        <v>46011</v>
      </c>
      <c r="D10500" t="inlineStr">
        <is>
          <t>VÄSTRA GÖTALANDS LÄN</t>
        </is>
      </c>
      <c r="E10500" t="inlineStr">
        <is>
          <t>BORÅS</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9994-2024</t>
        </is>
      </c>
      <c r="B10501" s="1" t="n">
        <v>45363.73256944444</v>
      </c>
      <c r="C10501" s="1" t="n">
        <v>46011</v>
      </c>
      <c r="D10501" t="inlineStr">
        <is>
          <t>VÄSTRA GÖTALANDS LÄN</t>
        </is>
      </c>
      <c r="E10501" t="inlineStr">
        <is>
          <t>ULRICEHAMN</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38666-2023</t>
        </is>
      </c>
      <c r="B10502" s="1" t="n">
        <v>45162</v>
      </c>
      <c r="C10502" s="1" t="n">
        <v>46011</v>
      </c>
      <c r="D10502" t="inlineStr">
        <is>
          <t>VÄSTRA GÖTALANDS LÄN</t>
        </is>
      </c>
      <c r="E10502" t="inlineStr">
        <is>
          <t>ULRICEHAMN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62086-2022</t>
        </is>
      </c>
      <c r="B10503" s="1" t="n">
        <v>44919.46138888889</v>
      </c>
      <c r="C10503" s="1" t="n">
        <v>46011</v>
      </c>
      <c r="D10503" t="inlineStr">
        <is>
          <t>VÄSTRA GÖTALANDS LÄN</t>
        </is>
      </c>
      <c r="E10503" t="inlineStr">
        <is>
          <t>ORUST</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36236-2023</t>
        </is>
      </c>
      <c r="B10504" s="1" t="n">
        <v>45150.63820601852</v>
      </c>
      <c r="C10504" s="1" t="n">
        <v>46011</v>
      </c>
      <c r="D10504" t="inlineStr">
        <is>
          <t>VÄSTRA GÖTALANDS LÄN</t>
        </is>
      </c>
      <c r="E10504" t="inlineStr">
        <is>
          <t>UDDEVALLA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32498-2024</t>
        </is>
      </c>
      <c r="B10505" s="1" t="n">
        <v>45513.42944444445</v>
      </c>
      <c r="C10505" s="1" t="n">
        <v>46011</v>
      </c>
      <c r="D10505" t="inlineStr">
        <is>
          <t>VÄSTRA GÖTALANDS LÄN</t>
        </is>
      </c>
      <c r="E10505" t="inlineStr">
        <is>
          <t>MELLERUD</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46320-2024</t>
        </is>
      </c>
      <c r="B10506" s="1" t="n">
        <v>45581.80997685185</v>
      </c>
      <c r="C10506" s="1" t="n">
        <v>46011</v>
      </c>
      <c r="D10506" t="inlineStr">
        <is>
          <t>VÄSTRA GÖTALANDS LÄN</t>
        </is>
      </c>
      <c r="E10506" t="inlineStr">
        <is>
          <t>VÄNERSBORG</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63556-2023</t>
        </is>
      </c>
      <c r="B10507" s="1" t="n">
        <v>45275.3553587963</v>
      </c>
      <c r="C10507" s="1" t="n">
        <v>46011</v>
      </c>
      <c r="D10507" t="inlineStr">
        <is>
          <t>VÄSTRA GÖTALANDS LÄN</t>
        </is>
      </c>
      <c r="E10507" t="inlineStr">
        <is>
          <t>SVENLJUNGA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6745-2023</t>
        </is>
      </c>
      <c r="B10508" s="1" t="n">
        <v>44966</v>
      </c>
      <c r="C10508" s="1" t="n">
        <v>46011</v>
      </c>
      <c r="D10508" t="inlineStr">
        <is>
          <t>VÄSTRA GÖTALANDS LÄN</t>
        </is>
      </c>
      <c r="E10508" t="inlineStr">
        <is>
          <t>BOLLEBYGD</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15971-2024</t>
        </is>
      </c>
      <c r="B10509" s="1" t="n">
        <v>45405.56321759259</v>
      </c>
      <c r="C10509" s="1" t="n">
        <v>46011</v>
      </c>
      <c r="D10509" t="inlineStr">
        <is>
          <t>VÄSTRA GÖTALANDS LÄN</t>
        </is>
      </c>
      <c r="E10509" t="inlineStr">
        <is>
          <t>FALKÖPING</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33747-2023</t>
        </is>
      </c>
      <c r="B10510" s="1" t="n">
        <v>45133.39594907407</v>
      </c>
      <c r="C10510" s="1" t="n">
        <v>46011</v>
      </c>
      <c r="D10510" t="inlineStr">
        <is>
          <t>VÄSTRA GÖTALANDS LÄN</t>
        </is>
      </c>
      <c r="E10510" t="inlineStr">
        <is>
          <t>STRÖMSTAD</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33754-2023</t>
        </is>
      </c>
      <c r="B10511" s="1" t="n">
        <v>45133.41232638889</v>
      </c>
      <c r="C10511" s="1" t="n">
        <v>46011</v>
      </c>
      <c r="D10511" t="inlineStr">
        <is>
          <t>VÄSTRA GÖTALANDS LÄN</t>
        </is>
      </c>
      <c r="E10511" t="inlineStr">
        <is>
          <t>TÖREBODA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12343-2023</t>
        </is>
      </c>
      <c r="B10512" s="1" t="n">
        <v>44999.39836805555</v>
      </c>
      <c r="C10512" s="1" t="n">
        <v>46011</v>
      </c>
      <c r="D10512" t="inlineStr">
        <is>
          <t>VÄSTRA GÖTALANDS LÄN</t>
        </is>
      </c>
      <c r="E10512" t="inlineStr">
        <is>
          <t>TANUM</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33761-2023</t>
        </is>
      </c>
      <c r="B10513" s="1" t="n">
        <v>45133</v>
      </c>
      <c r="C10513" s="1" t="n">
        <v>46011</v>
      </c>
      <c r="D10513" t="inlineStr">
        <is>
          <t>VÄSTRA GÖTALANDS LÄN</t>
        </is>
      </c>
      <c r="E10513" t="inlineStr">
        <is>
          <t>UDDEVALLA</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35055-2024</t>
        </is>
      </c>
      <c r="B10514" s="1" t="n">
        <v>45527</v>
      </c>
      <c r="C10514" s="1" t="n">
        <v>46011</v>
      </c>
      <c r="D10514" t="inlineStr">
        <is>
          <t>VÄSTRA GÖTALANDS LÄN</t>
        </is>
      </c>
      <c r="E10514" t="inlineStr">
        <is>
          <t>TIBRO</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3251-2023</t>
        </is>
      </c>
      <c r="B10515" s="1" t="n">
        <v>44947.52337962963</v>
      </c>
      <c r="C10515" s="1" t="n">
        <v>46011</v>
      </c>
      <c r="D10515" t="inlineStr">
        <is>
          <t>VÄSTRA GÖTALANDS LÄN</t>
        </is>
      </c>
      <c r="E10515" t="inlineStr">
        <is>
          <t>ULRICEHAMN</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33812-2023</t>
        </is>
      </c>
      <c r="B10516" s="1" t="n">
        <v>45133.58770833333</v>
      </c>
      <c r="C10516" s="1" t="n">
        <v>46011</v>
      </c>
      <c r="D10516" t="inlineStr">
        <is>
          <t>VÄSTRA GÖTALANDS LÄN</t>
        </is>
      </c>
      <c r="E10516" t="inlineStr">
        <is>
          <t>ALINGSÅS</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33817-2023</t>
        </is>
      </c>
      <c r="B10517" s="1" t="n">
        <v>45133.59908564815</v>
      </c>
      <c r="C10517" s="1" t="n">
        <v>46011</v>
      </c>
      <c r="D10517" t="inlineStr">
        <is>
          <t>VÄSTRA GÖTALANDS LÄN</t>
        </is>
      </c>
      <c r="E10517" t="inlineStr">
        <is>
          <t>ESSUNGA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14657-2024</t>
        </is>
      </c>
      <c r="B10518" s="1" t="n">
        <v>45397</v>
      </c>
      <c r="C10518" s="1" t="n">
        <v>46011</v>
      </c>
      <c r="D10518" t="inlineStr">
        <is>
          <t>VÄSTRA GÖTALANDS LÄN</t>
        </is>
      </c>
      <c r="E10518" t="inlineStr">
        <is>
          <t>MARIESTAD</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61975-2021</t>
        </is>
      </c>
      <c r="B10519" s="1" t="n">
        <v>44502</v>
      </c>
      <c r="C10519" s="1" t="n">
        <v>46011</v>
      </c>
      <c r="D10519" t="inlineStr">
        <is>
          <t>VÄSTRA GÖTALANDS LÄN</t>
        </is>
      </c>
      <c r="E10519" t="inlineStr">
        <is>
          <t>TIBRO</t>
        </is>
      </c>
      <c r="F10519" t="inlineStr">
        <is>
          <t>Kommuner</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59135-2021</t>
        </is>
      </c>
      <c r="B10520" s="1" t="n">
        <v>44490.46706018518</v>
      </c>
      <c r="C10520" s="1" t="n">
        <v>46011</v>
      </c>
      <c r="D10520" t="inlineStr">
        <is>
          <t>VÄSTRA GÖTALANDS LÄN</t>
        </is>
      </c>
      <c r="E10520" t="inlineStr">
        <is>
          <t>TANUM</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45276-2024</t>
        </is>
      </c>
      <c r="B10521" s="1" t="n">
        <v>45576.3666087963</v>
      </c>
      <c r="C10521" s="1" t="n">
        <v>46011</v>
      </c>
      <c r="D10521" t="inlineStr">
        <is>
          <t>VÄSTRA GÖTALANDS LÄN</t>
        </is>
      </c>
      <c r="E10521" t="inlineStr">
        <is>
          <t>TIDAHOLM</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55959-2022</t>
        </is>
      </c>
      <c r="B10522" s="1" t="n">
        <v>44889.42746527777</v>
      </c>
      <c r="C10522" s="1" t="n">
        <v>46011</v>
      </c>
      <c r="D10522" t="inlineStr">
        <is>
          <t>VÄSTRA GÖTALANDS LÄN</t>
        </is>
      </c>
      <c r="E10522" t="inlineStr">
        <is>
          <t>BORÅS</t>
        </is>
      </c>
      <c r="F10522" t="inlineStr">
        <is>
          <t>Kyrkan</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23513-2024</t>
        </is>
      </c>
      <c r="B10523" s="1" t="n">
        <v>45453.82998842592</v>
      </c>
      <c r="C10523" s="1" t="n">
        <v>46011</v>
      </c>
      <c r="D10523" t="inlineStr">
        <is>
          <t>VÄSTRA GÖTALANDS LÄN</t>
        </is>
      </c>
      <c r="E10523" t="inlineStr">
        <is>
          <t>HERRLJUNGA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19946-2024</t>
        </is>
      </c>
      <c r="B10524" s="1" t="n">
        <v>45433.62172453704</v>
      </c>
      <c r="C10524" s="1" t="n">
        <v>46011</v>
      </c>
      <c r="D10524" t="inlineStr">
        <is>
          <t>VÄSTRA GÖTALANDS LÄN</t>
        </is>
      </c>
      <c r="E10524" t="inlineStr">
        <is>
          <t>ESSUNGA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7990-2024</t>
        </is>
      </c>
      <c r="B10525" s="1" t="n">
        <v>45350</v>
      </c>
      <c r="C10525" s="1" t="n">
        <v>46011</v>
      </c>
      <c r="D10525" t="inlineStr">
        <is>
          <t>VÄSTRA GÖTALANDS LÄN</t>
        </is>
      </c>
      <c r="E10525" t="inlineStr">
        <is>
          <t>LERUM</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18382-2024</t>
        </is>
      </c>
      <c r="B10526" s="1" t="n">
        <v>45424.66726851852</v>
      </c>
      <c r="C10526" s="1" t="n">
        <v>46011</v>
      </c>
      <c r="D10526" t="inlineStr">
        <is>
          <t>VÄSTRA GÖTALANDS LÄN</t>
        </is>
      </c>
      <c r="E10526" t="inlineStr">
        <is>
          <t>TRANEMO</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15417-2023</t>
        </is>
      </c>
      <c r="B10527" s="1" t="n">
        <v>45019</v>
      </c>
      <c r="C10527" s="1" t="n">
        <v>46011</v>
      </c>
      <c r="D10527" t="inlineStr">
        <is>
          <t>VÄSTRA GÖTALANDS LÄN</t>
        </is>
      </c>
      <c r="E10527" t="inlineStr">
        <is>
          <t>SKÖVDE</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12750-2024</t>
        </is>
      </c>
      <c r="B10528" s="1" t="n">
        <v>45384</v>
      </c>
      <c r="C10528" s="1" t="n">
        <v>46011</v>
      </c>
      <c r="D10528" t="inlineStr">
        <is>
          <t>VÄSTRA GÖTALANDS LÄN</t>
        </is>
      </c>
      <c r="E10528" t="inlineStr">
        <is>
          <t>FALKÖPING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12754-2024</t>
        </is>
      </c>
      <c r="B10529" s="1" t="n">
        <v>45384</v>
      </c>
      <c r="C10529" s="1" t="n">
        <v>46011</v>
      </c>
      <c r="D10529" t="inlineStr">
        <is>
          <t>VÄSTRA GÖTALANDS LÄN</t>
        </is>
      </c>
      <c r="E10529" t="inlineStr">
        <is>
          <t>FALKÖPING</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15482-2023</t>
        </is>
      </c>
      <c r="B10530" s="1" t="n">
        <v>45020.46041666667</v>
      </c>
      <c r="C10530" s="1" t="n">
        <v>46011</v>
      </c>
      <c r="D10530" t="inlineStr">
        <is>
          <t>VÄSTRA GÖTALANDS LÄN</t>
        </is>
      </c>
      <c r="E10530" t="inlineStr">
        <is>
          <t>SVENLJUNGA</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58320-2021</t>
        </is>
      </c>
      <c r="B10531" s="1" t="n">
        <v>44488</v>
      </c>
      <c r="C10531" s="1" t="n">
        <v>46011</v>
      </c>
      <c r="D10531" t="inlineStr">
        <is>
          <t>VÄSTRA GÖTALANDS LÄN</t>
        </is>
      </c>
      <c r="E10531" t="inlineStr">
        <is>
          <t>BENGTSFORS</t>
        </is>
      </c>
      <c r="G10531" t="n">
        <v>8.199999999999999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16344-2023</t>
        </is>
      </c>
      <c r="B10532" s="1" t="n">
        <v>45028</v>
      </c>
      <c r="C10532" s="1" t="n">
        <v>46011</v>
      </c>
      <c r="D10532" t="inlineStr">
        <is>
          <t>VÄSTRA GÖTALANDS LÄN</t>
        </is>
      </c>
      <c r="E10532" t="inlineStr">
        <is>
          <t>ALE</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594-2023</t>
        </is>
      </c>
      <c r="B10533" s="1" t="n">
        <v>44925</v>
      </c>
      <c r="C10533" s="1" t="n">
        <v>46011</v>
      </c>
      <c r="D10533" t="inlineStr">
        <is>
          <t>VÄSTRA GÖTALANDS LÄN</t>
        </is>
      </c>
      <c r="E10533" t="inlineStr">
        <is>
          <t>TANUM</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5190-2023</t>
        </is>
      </c>
      <c r="B10534" s="1" t="n">
        <v>44959.34690972222</v>
      </c>
      <c r="C10534" s="1" t="n">
        <v>46011</v>
      </c>
      <c r="D10534" t="inlineStr">
        <is>
          <t>VÄSTRA GÖTALANDS LÄN</t>
        </is>
      </c>
      <c r="E10534" t="inlineStr">
        <is>
          <t>ULRICEHAMN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9168-2023</t>
        </is>
      </c>
      <c r="B10535" s="1" t="n">
        <v>44980.40984953703</v>
      </c>
      <c r="C10535" s="1" t="n">
        <v>46011</v>
      </c>
      <c r="D10535" t="inlineStr">
        <is>
          <t>VÄSTRA GÖTALANDS LÄN</t>
        </is>
      </c>
      <c r="E10535" t="inlineStr">
        <is>
          <t>FALKÖPING</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9169-2023</t>
        </is>
      </c>
      <c r="B10536" s="1" t="n">
        <v>44980.41365740741</v>
      </c>
      <c r="C10536" s="1" t="n">
        <v>46011</v>
      </c>
      <c r="D10536" t="inlineStr">
        <is>
          <t>VÄSTRA GÖTALANDS LÄN</t>
        </is>
      </c>
      <c r="E10536" t="inlineStr">
        <is>
          <t>VÄNERSBORG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21333-2024</t>
        </is>
      </c>
      <c r="B10537" s="1" t="n">
        <v>45440</v>
      </c>
      <c r="C10537" s="1" t="n">
        <v>46011</v>
      </c>
      <c r="D10537" t="inlineStr">
        <is>
          <t>VÄSTRA GÖTALANDS LÄN</t>
        </is>
      </c>
      <c r="E10537" t="inlineStr">
        <is>
          <t>STRÖMSTAD</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29014-2024</t>
        </is>
      </c>
      <c r="B10538" s="1" t="n">
        <v>45481.563125</v>
      </c>
      <c r="C10538" s="1" t="n">
        <v>46011</v>
      </c>
      <c r="D10538" t="inlineStr">
        <is>
          <t>VÄSTRA GÖTALANDS LÄN</t>
        </is>
      </c>
      <c r="E10538" t="inlineStr">
        <is>
          <t>FÄRGELANDA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55991-2022</t>
        </is>
      </c>
      <c r="B10539" s="1" t="n">
        <v>44889</v>
      </c>
      <c r="C10539" s="1" t="n">
        <v>46011</v>
      </c>
      <c r="D10539" t="inlineStr">
        <is>
          <t>VÄSTRA GÖTALANDS LÄN</t>
        </is>
      </c>
      <c r="E10539" t="inlineStr">
        <is>
          <t>LILLA EDET</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37854-2024</t>
        </is>
      </c>
      <c r="B10540" s="1" t="n">
        <v>45544.38148148148</v>
      </c>
      <c r="C10540" s="1" t="n">
        <v>46011</v>
      </c>
      <c r="D10540" t="inlineStr">
        <is>
          <t>VÄSTRA GÖTALANDS LÄN</t>
        </is>
      </c>
      <c r="E10540" t="inlineStr">
        <is>
          <t>TRANEMO</t>
        </is>
      </c>
      <c r="F10540" t="inlineStr">
        <is>
          <t>Kyrkan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36871-2024</t>
        </is>
      </c>
      <c r="B10541" s="1" t="n">
        <v>45538.58988425926</v>
      </c>
      <c r="C10541" s="1" t="n">
        <v>46011</v>
      </c>
      <c r="D10541" t="inlineStr">
        <is>
          <t>VÄSTRA GÖTALANDS LÄN</t>
        </is>
      </c>
      <c r="E10541" t="inlineStr">
        <is>
          <t>SVENLJUNGA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24074-2023</t>
        </is>
      </c>
      <c r="B10542" s="1" t="n">
        <v>45078</v>
      </c>
      <c r="C10542" s="1" t="n">
        <v>46011</v>
      </c>
      <c r="D10542" t="inlineStr">
        <is>
          <t>VÄSTRA GÖTALANDS LÄN</t>
        </is>
      </c>
      <c r="E10542" t="inlineStr">
        <is>
          <t>FÄRGELANDA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24075-2023</t>
        </is>
      </c>
      <c r="B10543" s="1" t="n">
        <v>45078</v>
      </c>
      <c r="C10543" s="1" t="n">
        <v>46011</v>
      </c>
      <c r="D10543" t="inlineStr">
        <is>
          <t>VÄSTRA GÖTALANDS LÄN</t>
        </is>
      </c>
      <c r="E10543" t="inlineStr">
        <is>
          <t>FÄRGELANDA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22634-2024</t>
        </is>
      </c>
      <c r="B10544" s="1" t="n">
        <v>45447.67667824074</v>
      </c>
      <c r="C10544" s="1" t="n">
        <v>46011</v>
      </c>
      <c r="D10544" t="inlineStr">
        <is>
          <t>VÄSTRA GÖTALANDS LÄN</t>
        </is>
      </c>
      <c r="E10544" t="inlineStr">
        <is>
          <t>GULLSPÅNG</t>
        </is>
      </c>
      <c r="G10544" t="n">
        <v>8.199999999999999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32762-2023</t>
        </is>
      </c>
      <c r="B10545" s="1" t="n">
        <v>45123.46649305556</v>
      </c>
      <c r="C10545" s="1" t="n">
        <v>46011</v>
      </c>
      <c r="D10545" t="inlineStr">
        <is>
          <t>VÄSTRA GÖTALANDS LÄN</t>
        </is>
      </c>
      <c r="E10545" t="inlineStr">
        <is>
          <t>ALE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27510-2023</t>
        </is>
      </c>
      <c r="B10546" s="1" t="n">
        <v>45097</v>
      </c>
      <c r="C10546" s="1" t="n">
        <v>46011</v>
      </c>
      <c r="D10546" t="inlineStr">
        <is>
          <t>VÄSTRA GÖTALANDS LÄN</t>
        </is>
      </c>
      <c r="E10546" t="inlineStr">
        <is>
          <t>MELLERUD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27524-2023</t>
        </is>
      </c>
      <c r="B10547" s="1" t="n">
        <v>45097</v>
      </c>
      <c r="C10547" s="1" t="n">
        <v>46011</v>
      </c>
      <c r="D10547" t="inlineStr">
        <is>
          <t>VÄSTRA GÖTALANDS LÄN</t>
        </is>
      </c>
      <c r="E10547" t="inlineStr">
        <is>
          <t>UDDEVALLA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29437-2023</t>
        </is>
      </c>
      <c r="B10548" s="1" t="n">
        <v>45106</v>
      </c>
      <c r="C10548" s="1" t="n">
        <v>46011</v>
      </c>
      <c r="D10548" t="inlineStr">
        <is>
          <t>VÄSTRA GÖTALANDS LÄN</t>
        </is>
      </c>
      <c r="E10548" t="inlineStr">
        <is>
          <t>TANUM</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40505-2023</t>
        </is>
      </c>
      <c r="B10549" s="1" t="n">
        <v>45170.40601851852</v>
      </c>
      <c r="C10549" s="1" t="n">
        <v>46011</v>
      </c>
      <c r="D10549" t="inlineStr">
        <is>
          <t>VÄSTRA GÖTALANDS LÄN</t>
        </is>
      </c>
      <c r="E10549" t="inlineStr">
        <is>
          <t>GULLSPÅNG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30205-2023</t>
        </is>
      </c>
      <c r="B10550" s="1" t="n">
        <v>45110.61938657407</v>
      </c>
      <c r="C10550" s="1" t="n">
        <v>46011</v>
      </c>
      <c r="D10550" t="inlineStr">
        <is>
          <t>VÄSTRA GÖTALANDS LÄN</t>
        </is>
      </c>
      <c r="E10550" t="inlineStr">
        <is>
          <t>GÖTENE</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16473-2023</t>
        </is>
      </c>
      <c r="B10551" s="1" t="n">
        <v>45029</v>
      </c>
      <c r="C10551" s="1" t="n">
        <v>46011</v>
      </c>
      <c r="D10551" t="inlineStr">
        <is>
          <t>VÄSTRA GÖTALANDS LÄN</t>
        </is>
      </c>
      <c r="E10551" t="inlineStr">
        <is>
          <t>TROLLHÄTTAN</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16475-2023</t>
        </is>
      </c>
      <c r="B10552" s="1" t="n">
        <v>45029</v>
      </c>
      <c r="C10552" s="1" t="n">
        <v>46011</v>
      </c>
      <c r="D10552" t="inlineStr">
        <is>
          <t>VÄSTRA GÖTALANDS LÄN</t>
        </is>
      </c>
      <c r="E10552" t="inlineStr">
        <is>
          <t>TROLLHÄTTAN</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69563-2021</t>
        </is>
      </c>
      <c r="B10553" s="1" t="n">
        <v>44532</v>
      </c>
      <c r="C10553" s="1" t="n">
        <v>46011</v>
      </c>
      <c r="D10553" t="inlineStr">
        <is>
          <t>VÄSTRA GÖTALANDS LÄN</t>
        </is>
      </c>
      <c r="E10553" t="inlineStr">
        <is>
          <t>HÄRRYDA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7343-2023</t>
        </is>
      </c>
      <c r="B10554" s="1" t="n">
        <v>44971</v>
      </c>
      <c r="C10554" s="1" t="n">
        <v>46011</v>
      </c>
      <c r="D10554" t="inlineStr">
        <is>
          <t>VÄSTRA GÖTALANDS LÄN</t>
        </is>
      </c>
      <c r="E10554" t="inlineStr">
        <is>
          <t>MARK</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7386-2023</t>
        </is>
      </c>
      <c r="B10555" s="1" t="n">
        <v>44971.45841435185</v>
      </c>
      <c r="C10555" s="1" t="n">
        <v>46011</v>
      </c>
      <c r="D10555" t="inlineStr">
        <is>
          <t>VÄSTRA GÖTALANDS LÄN</t>
        </is>
      </c>
      <c r="E10555" t="inlineStr">
        <is>
          <t>ULRICEHAMN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928-2022</t>
        </is>
      </c>
      <c r="B10556" s="1" t="n">
        <v>44571</v>
      </c>
      <c r="C10556" s="1" t="n">
        <v>46011</v>
      </c>
      <c r="D10556" t="inlineStr">
        <is>
          <t>VÄSTRA GÖTALANDS LÄN</t>
        </is>
      </c>
      <c r="E10556" t="inlineStr">
        <is>
          <t>BENGTSFORS</t>
        </is>
      </c>
      <c r="G10556" t="n">
        <v>7.4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37859-2024</t>
        </is>
      </c>
      <c r="B10557" s="1" t="n">
        <v>45544.3884837963</v>
      </c>
      <c r="C10557" s="1" t="n">
        <v>46011</v>
      </c>
      <c r="D10557" t="inlineStr">
        <is>
          <t>VÄSTRA GÖTALANDS LÄN</t>
        </is>
      </c>
      <c r="E10557" t="inlineStr">
        <is>
          <t>SVENLJUNGA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52317-2024</t>
        </is>
      </c>
      <c r="B10558" s="1" t="n">
        <v>45608.95311342592</v>
      </c>
      <c r="C10558" s="1" t="n">
        <v>46011</v>
      </c>
      <c r="D10558" t="inlineStr">
        <is>
          <t>VÄSTRA GÖTALANDS LÄN</t>
        </is>
      </c>
      <c r="E10558" t="inlineStr">
        <is>
          <t>FALKÖPING</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44844-2024</t>
        </is>
      </c>
      <c r="B10559" s="1" t="n">
        <v>45574.73483796296</v>
      </c>
      <c r="C10559" s="1" t="n">
        <v>46011</v>
      </c>
      <c r="D10559" t="inlineStr">
        <is>
          <t>VÄSTRA GÖTALANDS LÄN</t>
        </is>
      </c>
      <c r="E10559" t="inlineStr">
        <is>
          <t>TRANEMO</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5585-2022</t>
        </is>
      </c>
      <c r="B10560" s="1" t="n">
        <v>44595.66928240741</v>
      </c>
      <c r="C10560" s="1" t="n">
        <v>46011</v>
      </c>
      <c r="D10560" t="inlineStr">
        <is>
          <t>VÄSTRA GÖTALANDS LÄN</t>
        </is>
      </c>
      <c r="E10560" t="inlineStr">
        <is>
          <t>BENGTSFORS</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34435-2024</t>
        </is>
      </c>
      <c r="B10561" s="1" t="n">
        <v>45525.53689814815</v>
      </c>
      <c r="C10561" s="1" t="n">
        <v>46011</v>
      </c>
      <c r="D10561" t="inlineStr">
        <is>
          <t>VÄSTRA GÖTALANDS LÄN</t>
        </is>
      </c>
      <c r="E10561" t="inlineStr">
        <is>
          <t>TROLLHÄTTAN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41391-2024</t>
        </is>
      </c>
      <c r="B10562" s="1" t="n">
        <v>45560.31561342593</v>
      </c>
      <c r="C10562" s="1" t="n">
        <v>46011</v>
      </c>
      <c r="D10562" t="inlineStr">
        <is>
          <t>VÄSTRA GÖTALANDS LÄN</t>
        </is>
      </c>
      <c r="E10562" t="inlineStr">
        <is>
          <t>MARIESTAD</t>
        </is>
      </c>
      <c r="F10562" t="inlineStr">
        <is>
          <t>Sveaskog</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41210-2024</t>
        </is>
      </c>
      <c r="B10563" s="1" t="n">
        <v>45559</v>
      </c>
      <c r="C10563" s="1" t="n">
        <v>46011</v>
      </c>
      <c r="D10563" t="inlineStr">
        <is>
          <t>VÄSTRA GÖTALANDS LÄN</t>
        </is>
      </c>
      <c r="E10563" t="inlineStr">
        <is>
          <t>BENGTSFORS</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5308-2023</t>
        </is>
      </c>
      <c r="B10564" s="1" t="n">
        <v>44959.55680555556</v>
      </c>
      <c r="C10564" s="1" t="n">
        <v>46011</v>
      </c>
      <c r="D10564" t="inlineStr">
        <is>
          <t>VÄSTRA GÖTALANDS LÄN</t>
        </is>
      </c>
      <c r="E10564" t="inlineStr">
        <is>
          <t>SKÖVDE</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2483-2022</t>
        </is>
      </c>
      <c r="B10565" s="1" t="n">
        <v>44579</v>
      </c>
      <c r="C10565" s="1" t="n">
        <v>46011</v>
      </c>
      <c r="D10565" t="inlineStr">
        <is>
          <t>VÄSTRA GÖTALANDS LÄN</t>
        </is>
      </c>
      <c r="E10565" t="inlineStr">
        <is>
          <t>MUNKEDAL</t>
        </is>
      </c>
      <c r="F10565" t="inlineStr">
        <is>
          <t>Kyrkan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59151-2023</t>
        </is>
      </c>
      <c r="B10566" s="1" t="n">
        <v>45251</v>
      </c>
      <c r="C10566" s="1" t="n">
        <v>46011</v>
      </c>
      <c r="D10566" t="inlineStr">
        <is>
          <t>VÄSTRA GÖTALANDS LÄN</t>
        </is>
      </c>
      <c r="E10566" t="inlineStr">
        <is>
          <t>MARK</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59163-2023</t>
        </is>
      </c>
      <c r="B10567" s="1" t="n">
        <v>45251</v>
      </c>
      <c r="C10567" s="1" t="n">
        <v>46011</v>
      </c>
      <c r="D10567" t="inlineStr">
        <is>
          <t>VÄSTRA GÖTALANDS LÄN</t>
        </is>
      </c>
      <c r="E10567" t="inlineStr">
        <is>
          <t>MARK</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41598-2022</t>
        </is>
      </c>
      <c r="B10568" s="1" t="n">
        <v>44827.4609837963</v>
      </c>
      <c r="C10568" s="1" t="n">
        <v>46011</v>
      </c>
      <c r="D10568" t="inlineStr">
        <is>
          <t>VÄSTRA GÖTALANDS LÄN</t>
        </is>
      </c>
      <c r="E10568" t="inlineStr">
        <is>
          <t>ALE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1533-2024</t>
        </is>
      </c>
      <c r="B10569" s="1" t="n">
        <v>45306.46153935185</v>
      </c>
      <c r="C10569" s="1" t="n">
        <v>46011</v>
      </c>
      <c r="D10569" t="inlineStr">
        <is>
          <t>VÄSTRA GÖTALANDS LÄN</t>
        </is>
      </c>
      <c r="E10569" t="inlineStr">
        <is>
          <t>TRANEMO</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17798-2024</t>
        </is>
      </c>
      <c r="B10570" s="1" t="n">
        <v>45418</v>
      </c>
      <c r="C10570" s="1" t="n">
        <v>46011</v>
      </c>
      <c r="D10570" t="inlineStr">
        <is>
          <t>VÄSTRA GÖTALANDS LÄN</t>
        </is>
      </c>
      <c r="E10570" t="inlineStr">
        <is>
          <t>SKÖVDE</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41022-2024</t>
        </is>
      </c>
      <c r="B10571" s="1" t="n">
        <v>45558</v>
      </c>
      <c r="C10571" s="1" t="n">
        <v>46011</v>
      </c>
      <c r="D10571" t="inlineStr">
        <is>
          <t>VÄSTRA GÖTALANDS LÄN</t>
        </is>
      </c>
      <c r="E10571" t="inlineStr">
        <is>
          <t>BENGTSFORS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41024-2024</t>
        </is>
      </c>
      <c r="B10572" s="1" t="n">
        <v>45558</v>
      </c>
      <c r="C10572" s="1" t="n">
        <v>46011</v>
      </c>
      <c r="D10572" t="inlineStr">
        <is>
          <t>VÄSTRA GÖTALANDS LÄN</t>
        </is>
      </c>
      <c r="E10572" t="inlineStr">
        <is>
          <t>BENGTSFORS</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1875-2022</t>
        </is>
      </c>
      <c r="B10573" s="1" t="n">
        <v>44574</v>
      </c>
      <c r="C10573" s="1" t="n">
        <v>46011</v>
      </c>
      <c r="D10573" t="inlineStr">
        <is>
          <t>VÄSTRA GÖTALANDS LÄN</t>
        </is>
      </c>
      <c r="E10573" t="inlineStr">
        <is>
          <t>HERRLJUNGA</t>
        </is>
      </c>
      <c r="G10573" t="n">
        <v>11.4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2110-2024</t>
        </is>
      </c>
      <c r="B10574" s="1" t="n">
        <v>45309.47417824074</v>
      </c>
      <c r="C10574" s="1" t="n">
        <v>46011</v>
      </c>
      <c r="D10574" t="inlineStr">
        <is>
          <t>VÄSTRA GÖTALANDS LÄN</t>
        </is>
      </c>
      <c r="E10574" t="inlineStr">
        <is>
          <t>SKARA</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64725-2023</t>
        </is>
      </c>
      <c r="B10575" s="1" t="n">
        <v>45281</v>
      </c>
      <c r="C10575" s="1" t="n">
        <v>46011</v>
      </c>
      <c r="D10575" t="inlineStr">
        <is>
          <t>VÄSTRA GÖTALANDS LÄN</t>
        </is>
      </c>
      <c r="E10575" t="inlineStr">
        <is>
          <t>GULLSPÅNG</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6957-2024</t>
        </is>
      </c>
      <c r="B10576" s="1" t="n">
        <v>45343.45112268518</v>
      </c>
      <c r="C10576" s="1" t="n">
        <v>46011</v>
      </c>
      <c r="D10576" t="inlineStr">
        <is>
          <t>VÄSTRA GÖTALANDS LÄN</t>
        </is>
      </c>
      <c r="E10576" t="inlineStr">
        <is>
          <t>ORUST</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36426-2023</t>
        </is>
      </c>
      <c r="B10577" s="1" t="n">
        <v>45151</v>
      </c>
      <c r="C10577" s="1" t="n">
        <v>46011</v>
      </c>
      <c r="D10577" t="inlineStr">
        <is>
          <t>VÄSTRA GÖTALANDS LÄN</t>
        </is>
      </c>
      <c r="E10577" t="inlineStr">
        <is>
          <t>BENGTSFORS</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27869-2024</t>
        </is>
      </c>
      <c r="B10578" s="1" t="n">
        <v>45475.70398148148</v>
      </c>
      <c r="C10578" s="1" t="n">
        <v>46011</v>
      </c>
      <c r="D10578" t="inlineStr">
        <is>
          <t>VÄSTRA GÖTALANDS LÄN</t>
        </is>
      </c>
      <c r="E10578" t="inlineStr">
        <is>
          <t>UDDEVALLA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48864-2024</t>
        </is>
      </c>
      <c r="B10579" s="1" t="n">
        <v>45594.24348379629</v>
      </c>
      <c r="C10579" s="1" t="n">
        <v>46011</v>
      </c>
      <c r="D10579" t="inlineStr">
        <is>
          <t>VÄSTRA GÖTALANDS LÄN</t>
        </is>
      </c>
      <c r="E10579" t="inlineStr">
        <is>
          <t>GRÄSTORP</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33912-2023</t>
        </is>
      </c>
      <c r="B10580" s="1" t="n">
        <v>45134.41664351852</v>
      </c>
      <c r="C10580" s="1" t="n">
        <v>46011</v>
      </c>
      <c r="D10580" t="inlineStr">
        <is>
          <t>VÄSTRA GÖTALANDS LÄN</t>
        </is>
      </c>
      <c r="E10580" t="inlineStr">
        <is>
          <t>VÄNERSBORG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30513-2024</t>
        </is>
      </c>
      <c r="B10581" s="1" t="n">
        <v>45492</v>
      </c>
      <c r="C10581" s="1" t="n">
        <v>46011</v>
      </c>
      <c r="D10581" t="inlineStr">
        <is>
          <t>VÄSTRA GÖTALANDS LÄN</t>
        </is>
      </c>
      <c r="E10581" t="inlineStr">
        <is>
          <t>SKARA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54681-2021</t>
        </is>
      </c>
      <c r="B10582" s="1" t="n">
        <v>44473</v>
      </c>
      <c r="C10582" s="1" t="n">
        <v>46011</v>
      </c>
      <c r="D10582" t="inlineStr">
        <is>
          <t>VÄSTRA GÖTALANDS LÄN</t>
        </is>
      </c>
      <c r="E10582" t="inlineStr">
        <is>
          <t>LILLA EDET</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12844-2024</t>
        </is>
      </c>
      <c r="B10583" s="1" t="n">
        <v>45384.79944444444</v>
      </c>
      <c r="C10583" s="1" t="n">
        <v>46011</v>
      </c>
      <c r="D10583" t="inlineStr">
        <is>
          <t>VÄSTRA GÖTALANDS LÄN</t>
        </is>
      </c>
      <c r="E10583" t="inlineStr">
        <is>
          <t>DALS-ED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12853-2024</t>
        </is>
      </c>
      <c r="B10584" s="1" t="n">
        <v>45384.90856481482</v>
      </c>
      <c r="C10584" s="1" t="n">
        <v>46011</v>
      </c>
      <c r="D10584" t="inlineStr">
        <is>
          <t>VÄSTRA GÖTALANDS LÄN</t>
        </is>
      </c>
      <c r="E10584" t="inlineStr">
        <is>
          <t>TANUM</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12854-2024</t>
        </is>
      </c>
      <c r="B10585" s="1" t="n">
        <v>45384.91399305555</v>
      </c>
      <c r="C10585" s="1" t="n">
        <v>46011</v>
      </c>
      <c r="D10585" t="inlineStr">
        <is>
          <t>VÄSTRA GÖTALANDS LÄN</t>
        </is>
      </c>
      <c r="E10585" t="inlineStr">
        <is>
          <t>TANUM</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13527-2024</t>
        </is>
      </c>
      <c r="B10586" s="1" t="n">
        <v>45387</v>
      </c>
      <c r="C10586" s="1" t="n">
        <v>46011</v>
      </c>
      <c r="D10586" t="inlineStr">
        <is>
          <t>VÄSTRA GÖTALANDS LÄN</t>
        </is>
      </c>
      <c r="E10586" t="inlineStr">
        <is>
          <t>UDDEVALLA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13529-2024</t>
        </is>
      </c>
      <c r="B10587" s="1" t="n">
        <v>45387.84504629629</v>
      </c>
      <c r="C10587" s="1" t="n">
        <v>46011</v>
      </c>
      <c r="D10587" t="inlineStr">
        <is>
          <t>VÄSTRA GÖTALANDS LÄN</t>
        </is>
      </c>
      <c r="E10587" t="inlineStr">
        <is>
          <t>KUNGÄLV</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14420-2024</t>
        </is>
      </c>
      <c r="B10588" s="1" t="n">
        <v>45394</v>
      </c>
      <c r="C10588" s="1" t="n">
        <v>46011</v>
      </c>
      <c r="D10588" t="inlineStr">
        <is>
          <t>VÄSTRA GÖTALANDS LÄN</t>
        </is>
      </c>
      <c r="E10588" t="inlineStr">
        <is>
          <t>TRANEMO</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29195-2024</t>
        </is>
      </c>
      <c r="B10589" s="1" t="n">
        <v>45482</v>
      </c>
      <c r="C10589" s="1" t="n">
        <v>46011</v>
      </c>
      <c r="D10589" t="inlineStr">
        <is>
          <t>VÄSTRA GÖTALANDS LÄN</t>
        </is>
      </c>
      <c r="E10589" t="inlineStr">
        <is>
          <t>STRÖMSTAD</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14458-2024</t>
        </is>
      </c>
      <c r="B10590" s="1" t="n">
        <v>45394</v>
      </c>
      <c r="C10590" s="1" t="n">
        <v>46011</v>
      </c>
      <c r="D10590" t="inlineStr">
        <is>
          <t>VÄSTRA GÖTALANDS LÄN</t>
        </is>
      </c>
      <c r="E10590" t="inlineStr">
        <is>
          <t>ALE</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37499-2023</t>
        </is>
      </c>
      <c r="B10591" s="1" t="n">
        <v>45157</v>
      </c>
      <c r="C10591" s="1" t="n">
        <v>46011</v>
      </c>
      <c r="D10591" t="inlineStr">
        <is>
          <t>VÄSTRA GÖTALANDS LÄN</t>
        </is>
      </c>
      <c r="E10591" t="inlineStr">
        <is>
          <t>ULRICEHAMN</t>
        </is>
      </c>
      <c r="G10591" t="n">
        <v>7.7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7624-2024</t>
        </is>
      </c>
      <c r="B10592" s="1" t="n">
        <v>45348.60578703704</v>
      </c>
      <c r="C10592" s="1" t="n">
        <v>46011</v>
      </c>
      <c r="D10592" t="inlineStr">
        <is>
          <t>VÄSTRA GÖTALANDS LÄN</t>
        </is>
      </c>
      <c r="E10592" t="inlineStr">
        <is>
          <t>BORÅS</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7640-2024</t>
        </is>
      </c>
      <c r="B10593" s="1" t="n">
        <v>45348.64657407408</v>
      </c>
      <c r="C10593" s="1" t="n">
        <v>46011</v>
      </c>
      <c r="D10593" t="inlineStr">
        <is>
          <t>VÄSTRA GÖTALANDS LÄN</t>
        </is>
      </c>
      <c r="E10593" t="inlineStr">
        <is>
          <t>VÄNERSBORG</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35685-2024</t>
        </is>
      </c>
      <c r="B10594" s="1" t="n">
        <v>45532.41479166667</v>
      </c>
      <c r="C10594" s="1" t="n">
        <v>46011</v>
      </c>
      <c r="D10594" t="inlineStr">
        <is>
          <t>VÄSTRA GÖTALANDS LÄN</t>
        </is>
      </c>
      <c r="E10594" t="inlineStr">
        <is>
          <t>MUNKEDAL</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33609-2023</t>
        </is>
      </c>
      <c r="B10595" s="1" t="n">
        <v>45132.33288194444</v>
      </c>
      <c r="C10595" s="1" t="n">
        <v>46011</v>
      </c>
      <c r="D10595" t="inlineStr">
        <is>
          <t>VÄSTRA GÖTALANDS LÄN</t>
        </is>
      </c>
      <c r="E10595" t="inlineStr">
        <is>
          <t>BENGTSFORS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32564-2023</t>
        </is>
      </c>
      <c r="B10596" s="1" t="n">
        <v>45111</v>
      </c>
      <c r="C10596" s="1" t="n">
        <v>46011</v>
      </c>
      <c r="D10596" t="inlineStr">
        <is>
          <t>VÄSTRA GÖTALANDS LÄN</t>
        </is>
      </c>
      <c r="E10596" t="inlineStr">
        <is>
          <t>GULLSPÅNG</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33939-2023</t>
        </is>
      </c>
      <c r="B10597" s="1" t="n">
        <v>45134.55792824074</v>
      </c>
      <c r="C10597" s="1" t="n">
        <v>46011</v>
      </c>
      <c r="D10597" t="inlineStr">
        <is>
          <t>VÄSTRA GÖTALANDS LÄN</t>
        </is>
      </c>
      <c r="E10597" t="inlineStr">
        <is>
          <t>VÅRGÅRDA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11102-2024</t>
        </is>
      </c>
      <c r="B10598" s="1" t="n">
        <v>45371.32438657407</v>
      </c>
      <c r="C10598" s="1" t="n">
        <v>46011</v>
      </c>
      <c r="D10598" t="inlineStr">
        <is>
          <t>VÄSTRA GÖTALANDS LÄN</t>
        </is>
      </c>
      <c r="E10598" t="inlineStr">
        <is>
          <t>LILLA EDET</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11696-2024</t>
        </is>
      </c>
      <c r="B10599" s="1" t="n">
        <v>45373.60101851852</v>
      </c>
      <c r="C10599" s="1" t="n">
        <v>46011</v>
      </c>
      <c r="D10599" t="inlineStr">
        <is>
          <t>VÄSTRA GÖTALANDS LÄN</t>
        </is>
      </c>
      <c r="E10599" t="inlineStr">
        <is>
          <t>TIDAHOLM</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14004-2024</t>
        </is>
      </c>
      <c r="B10600" s="1" t="n">
        <v>45392.47069444445</v>
      </c>
      <c r="C10600" s="1" t="n">
        <v>46011</v>
      </c>
      <c r="D10600" t="inlineStr">
        <is>
          <t>VÄSTRA GÖTALANDS LÄN</t>
        </is>
      </c>
      <c r="E10600" t="inlineStr">
        <is>
          <t>TANUM</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6438-2024</t>
        </is>
      </c>
      <c r="B10601" s="1" t="n">
        <v>45338</v>
      </c>
      <c r="C10601" s="1" t="n">
        <v>46011</v>
      </c>
      <c r="D10601" t="inlineStr">
        <is>
          <t>VÄSTRA GÖTALANDS LÄN</t>
        </is>
      </c>
      <c r="E10601" t="inlineStr">
        <is>
          <t>ULRICEHAMN</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2944-2023</t>
        </is>
      </c>
      <c r="B10602" s="1" t="n">
        <v>44945.61427083334</v>
      </c>
      <c r="C10602" s="1" t="n">
        <v>46011</v>
      </c>
      <c r="D10602" t="inlineStr">
        <is>
          <t>VÄSTRA GÖTALANDS LÄN</t>
        </is>
      </c>
      <c r="E10602" t="inlineStr">
        <is>
          <t>ULRICEHAMN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6453-2024</t>
        </is>
      </c>
      <c r="B10603" s="1" t="n">
        <v>45338.67915509259</v>
      </c>
      <c r="C10603" s="1" t="n">
        <v>46011</v>
      </c>
      <c r="D10603" t="inlineStr">
        <is>
          <t>VÄSTRA GÖTALANDS LÄN</t>
        </is>
      </c>
      <c r="E10603" t="inlineStr">
        <is>
          <t>VARA</t>
        </is>
      </c>
      <c r="F10603" t="inlineStr">
        <is>
          <t>Kyrkan</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1346-2022</t>
        </is>
      </c>
      <c r="B10604" s="1" t="n">
        <v>44572</v>
      </c>
      <c r="C10604" s="1" t="n">
        <v>46011</v>
      </c>
      <c r="D10604" t="inlineStr">
        <is>
          <t>VÄSTRA GÖTALANDS LÄN</t>
        </is>
      </c>
      <c r="E10604" t="inlineStr">
        <is>
          <t>UDDEVALLA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12554-2023</t>
        </is>
      </c>
      <c r="B10605" s="1" t="n">
        <v>45000.35256944445</v>
      </c>
      <c r="C10605" s="1" t="n">
        <v>46011</v>
      </c>
      <c r="D10605" t="inlineStr">
        <is>
          <t>VÄSTRA GÖTALANDS LÄN</t>
        </is>
      </c>
      <c r="E10605" t="inlineStr">
        <is>
          <t>HJO</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52036-2024</t>
        </is>
      </c>
      <c r="B10606" s="1" t="n">
        <v>45608.30641203704</v>
      </c>
      <c r="C10606" s="1" t="n">
        <v>46011</v>
      </c>
      <c r="D10606" t="inlineStr">
        <is>
          <t>VÄSTRA GÖTALANDS LÄN</t>
        </is>
      </c>
      <c r="E10606" t="inlineStr">
        <is>
          <t>TIDAHOLM</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32846-2023</t>
        </is>
      </c>
      <c r="B10607" s="1" t="n">
        <v>45112</v>
      </c>
      <c r="C10607" s="1" t="n">
        <v>46011</v>
      </c>
      <c r="D10607" t="inlineStr">
        <is>
          <t>VÄSTRA GÖTALANDS LÄN</t>
        </is>
      </c>
      <c r="E10607" t="inlineStr">
        <is>
          <t>UDDEVALLA</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45522-2024</t>
        </is>
      </c>
      <c r="B10608" s="1" t="n">
        <v>45578.74212962963</v>
      </c>
      <c r="C10608" s="1" t="n">
        <v>46011</v>
      </c>
      <c r="D10608" t="inlineStr">
        <is>
          <t>VÄSTRA GÖTALANDS LÄN</t>
        </is>
      </c>
      <c r="E10608" t="inlineStr">
        <is>
          <t>HERRLJUNGA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45528-2024</t>
        </is>
      </c>
      <c r="B10609" s="1" t="n">
        <v>45579.27511574074</v>
      </c>
      <c r="C10609" s="1" t="n">
        <v>46011</v>
      </c>
      <c r="D10609" t="inlineStr">
        <is>
          <t>VÄSTRA GÖTALANDS LÄN</t>
        </is>
      </c>
      <c r="E10609" t="inlineStr">
        <is>
          <t>ULRICEHAMN</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33890-2023</t>
        </is>
      </c>
      <c r="B10610" s="1" t="n">
        <v>45134.33009259259</v>
      </c>
      <c r="C10610" s="1" t="n">
        <v>46011</v>
      </c>
      <c r="D10610" t="inlineStr">
        <is>
          <t>VÄSTRA GÖTALANDS LÄN</t>
        </is>
      </c>
      <c r="E10610" t="inlineStr">
        <is>
          <t>ULRICEHAMN</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15841-2024</t>
        </is>
      </c>
      <c r="B10611" s="1" t="n">
        <v>45404.72262731481</v>
      </c>
      <c r="C10611" s="1" t="n">
        <v>46011</v>
      </c>
      <c r="D10611" t="inlineStr">
        <is>
          <t>VÄSTRA GÖTALANDS LÄN</t>
        </is>
      </c>
      <c r="E10611" t="inlineStr">
        <is>
          <t>DALS-ED</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2632-2024</t>
        </is>
      </c>
      <c r="B10612" s="1" t="n">
        <v>45313.97175925926</v>
      </c>
      <c r="C10612" s="1" t="n">
        <v>46011</v>
      </c>
      <c r="D10612" t="inlineStr">
        <is>
          <t>VÄSTRA GÖTALANDS LÄN</t>
        </is>
      </c>
      <c r="E10612" t="inlineStr">
        <is>
          <t>ORUST</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72683-2021</t>
        </is>
      </c>
      <c r="B10613" s="1" t="n">
        <v>44546.65107638889</v>
      </c>
      <c r="C10613" s="1" t="n">
        <v>46011</v>
      </c>
      <c r="D10613" t="inlineStr">
        <is>
          <t>VÄSTRA GÖTALANDS LÄN</t>
        </is>
      </c>
      <c r="E10613" t="inlineStr">
        <is>
          <t>TIDAHOLM</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39515-2024</t>
        </is>
      </c>
      <c r="B10614" s="1" t="n">
        <v>45551.69797453703</v>
      </c>
      <c r="C10614" s="1" t="n">
        <v>46011</v>
      </c>
      <c r="D10614" t="inlineStr">
        <is>
          <t>VÄSTRA GÖTALANDS LÄN</t>
        </is>
      </c>
      <c r="E10614" t="inlineStr">
        <is>
          <t>FALKÖPING</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39549-2024</t>
        </is>
      </c>
      <c r="B10615" s="1" t="n">
        <v>45552.32608796296</v>
      </c>
      <c r="C10615" s="1" t="n">
        <v>46011</v>
      </c>
      <c r="D10615" t="inlineStr">
        <is>
          <t>VÄSTRA GÖTALANDS LÄN</t>
        </is>
      </c>
      <c r="E10615" t="inlineStr">
        <is>
          <t>TANUM</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67551-2021</t>
        </is>
      </c>
      <c r="B10616" s="1" t="n">
        <v>44524.56353009259</v>
      </c>
      <c r="C10616" s="1" t="n">
        <v>46011</v>
      </c>
      <c r="D10616" t="inlineStr">
        <is>
          <t>VÄSTRA GÖTALANDS LÄN</t>
        </is>
      </c>
      <c r="E10616" t="inlineStr">
        <is>
          <t>HERRLJUNGA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58558-2021</t>
        </is>
      </c>
      <c r="B10617" s="1" t="n">
        <v>44488</v>
      </c>
      <c r="C10617" s="1" t="n">
        <v>46011</v>
      </c>
      <c r="D10617" t="inlineStr">
        <is>
          <t>VÄSTRA GÖTALANDS LÄN</t>
        </is>
      </c>
      <c r="E10617" t="inlineStr">
        <is>
          <t>ALINGSÅS</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34120-2024</t>
        </is>
      </c>
      <c r="B10618" s="1" t="n">
        <v>45524.30751157407</v>
      </c>
      <c r="C10618" s="1" t="n">
        <v>46011</v>
      </c>
      <c r="D10618" t="inlineStr">
        <is>
          <t>VÄSTRA GÖTALANDS LÄN</t>
        </is>
      </c>
      <c r="E10618" t="inlineStr">
        <is>
          <t>KARLSBORG</t>
        </is>
      </c>
      <c r="F10618" t="inlineStr">
        <is>
          <t>Övriga Aktiebolag</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34123-2024</t>
        </is>
      </c>
      <c r="B10619" s="1" t="n">
        <v>45524</v>
      </c>
      <c r="C10619" s="1" t="n">
        <v>46011</v>
      </c>
      <c r="D10619" t="inlineStr">
        <is>
          <t>VÄSTRA GÖTALANDS LÄN</t>
        </is>
      </c>
      <c r="E10619" t="inlineStr">
        <is>
          <t>KARLSBORG</t>
        </is>
      </c>
      <c r="F10619" t="inlineStr">
        <is>
          <t>Övriga Aktiebolag</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34125-2024</t>
        </is>
      </c>
      <c r="B10620" s="1" t="n">
        <v>45524.31809027777</v>
      </c>
      <c r="C10620" s="1" t="n">
        <v>46011</v>
      </c>
      <c r="D10620" t="inlineStr">
        <is>
          <t>VÄSTRA GÖTALANDS LÄN</t>
        </is>
      </c>
      <c r="E10620" t="inlineStr">
        <is>
          <t>KARLSBORG</t>
        </is>
      </c>
      <c r="F10620" t="inlineStr">
        <is>
          <t>Övriga Aktiebolag</t>
        </is>
      </c>
      <c r="G10620" t="n">
        <v>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56789-2021</t>
        </is>
      </c>
      <c r="B10621" s="1" t="n">
        <v>44481.53412037037</v>
      </c>
      <c r="C10621" s="1" t="n">
        <v>46011</v>
      </c>
      <c r="D10621" t="inlineStr">
        <is>
          <t>VÄSTRA GÖTALANDS LÄN</t>
        </is>
      </c>
      <c r="E10621" t="inlineStr">
        <is>
          <t>MUNKEDAL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47690-2024</t>
        </is>
      </c>
      <c r="B10622" s="1" t="n">
        <v>45588.45356481482</v>
      </c>
      <c r="C10622" s="1" t="n">
        <v>46011</v>
      </c>
      <c r="D10622" t="inlineStr">
        <is>
          <t>VÄSTRA GÖTALANDS LÄN</t>
        </is>
      </c>
      <c r="E10622" t="inlineStr">
        <is>
          <t>ÅMÅL</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31122-2023</t>
        </is>
      </c>
      <c r="B10623" s="1" t="n">
        <v>45113</v>
      </c>
      <c r="C10623" s="1" t="n">
        <v>46011</v>
      </c>
      <c r="D10623" t="inlineStr">
        <is>
          <t>VÄSTRA GÖTALANDS LÄN</t>
        </is>
      </c>
      <c r="E10623" t="inlineStr">
        <is>
          <t>MELLERUD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3155-2023</t>
        </is>
      </c>
      <c r="B10624" s="1" t="n">
        <v>44946</v>
      </c>
      <c r="C10624" s="1" t="n">
        <v>46011</v>
      </c>
      <c r="D10624" t="inlineStr">
        <is>
          <t>VÄSTRA GÖTALANDS LÄN</t>
        </is>
      </c>
      <c r="E10624" t="inlineStr">
        <is>
          <t>BENGTSFORS</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32473-2023</t>
        </is>
      </c>
      <c r="B10625" s="1" t="n">
        <v>45120</v>
      </c>
      <c r="C10625" s="1" t="n">
        <v>46011</v>
      </c>
      <c r="D10625" t="inlineStr">
        <is>
          <t>VÄSTRA GÖTALANDS LÄN</t>
        </is>
      </c>
      <c r="E10625" t="inlineStr">
        <is>
          <t>BORÅS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47716-2024</t>
        </is>
      </c>
      <c r="B10626" s="1" t="n">
        <v>45588.48296296296</v>
      </c>
      <c r="C10626" s="1" t="n">
        <v>46011</v>
      </c>
      <c r="D10626" t="inlineStr">
        <is>
          <t>VÄSTRA GÖTALANDS LÄN</t>
        </is>
      </c>
      <c r="E10626" t="inlineStr">
        <is>
          <t>BENGTSFORS</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27265-2023</t>
        </is>
      </c>
      <c r="B10627" s="1" t="n">
        <v>45096.62655092592</v>
      </c>
      <c r="C10627" s="1" t="n">
        <v>46011</v>
      </c>
      <c r="D10627" t="inlineStr">
        <is>
          <t>VÄSTRA GÖTALANDS LÄN</t>
        </is>
      </c>
      <c r="E10627" t="inlineStr">
        <is>
          <t>SKARA</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42434-2024</t>
        </is>
      </c>
      <c r="B10628" s="1" t="n">
        <v>45565.41542824074</v>
      </c>
      <c r="C10628" s="1" t="n">
        <v>46011</v>
      </c>
      <c r="D10628" t="inlineStr">
        <is>
          <t>VÄSTRA GÖTALANDS LÄN</t>
        </is>
      </c>
      <c r="E10628" t="inlineStr">
        <is>
          <t>DALS-ED</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42456-2024</t>
        </is>
      </c>
      <c r="B10629" s="1" t="n">
        <v>45565.46021990741</v>
      </c>
      <c r="C10629" s="1" t="n">
        <v>46011</v>
      </c>
      <c r="D10629" t="inlineStr">
        <is>
          <t>VÄSTRA GÖTALANDS LÄN</t>
        </is>
      </c>
      <c r="E10629" t="inlineStr">
        <is>
          <t>TROLLHÄTTAN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2420-2022</t>
        </is>
      </c>
      <c r="B10630" s="1" t="n">
        <v>44579.50421296297</v>
      </c>
      <c r="C10630" s="1" t="n">
        <v>46011</v>
      </c>
      <c r="D10630" t="inlineStr">
        <is>
          <t>VÄSTRA GÖTALANDS LÄN</t>
        </is>
      </c>
      <c r="E10630" t="inlineStr">
        <is>
          <t>TANUM</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2441-2022</t>
        </is>
      </c>
      <c r="B10631" s="1" t="n">
        <v>44579</v>
      </c>
      <c r="C10631" s="1" t="n">
        <v>46011</v>
      </c>
      <c r="D10631" t="inlineStr">
        <is>
          <t>VÄSTRA GÖTALANDS LÄN</t>
        </is>
      </c>
      <c r="E10631" t="inlineStr">
        <is>
          <t>SVENLJUNGA</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58958-2021</t>
        </is>
      </c>
      <c r="B10632" s="1" t="n">
        <v>44489</v>
      </c>
      <c r="C10632" s="1" t="n">
        <v>46011</v>
      </c>
      <c r="D10632" t="inlineStr">
        <is>
          <t>VÄSTRA GÖTALANDS LÄN</t>
        </is>
      </c>
      <c r="E10632" t="inlineStr">
        <is>
          <t>UDDEVALLA</t>
        </is>
      </c>
      <c r="G10632" t="n">
        <v>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9793-2022</t>
        </is>
      </c>
      <c r="B10633" s="1" t="n">
        <v>44620.36565972222</v>
      </c>
      <c r="C10633" s="1" t="n">
        <v>46011</v>
      </c>
      <c r="D10633" t="inlineStr">
        <is>
          <t>VÄSTRA GÖTALANDS LÄN</t>
        </is>
      </c>
      <c r="E10633" t="inlineStr">
        <is>
          <t>MARIESTAD</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50960-2023</t>
        </is>
      </c>
      <c r="B10634" s="1" t="n">
        <v>45218.48347222222</v>
      </c>
      <c r="C10634" s="1" t="n">
        <v>46011</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5465-2025</t>
        </is>
      </c>
      <c r="B10635" s="1" t="n">
        <v>45693.32520833334</v>
      </c>
      <c r="C10635" s="1" t="n">
        <v>46011</v>
      </c>
      <c r="D10635" t="inlineStr">
        <is>
          <t>VÄSTRA GÖTALANDS LÄN</t>
        </is>
      </c>
      <c r="E10635" t="inlineStr">
        <is>
          <t>SKÖVDE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5466-2025</t>
        </is>
      </c>
      <c r="B10636" s="1" t="n">
        <v>45693.32571759259</v>
      </c>
      <c r="C10636" s="1" t="n">
        <v>46011</v>
      </c>
      <c r="D10636" t="inlineStr">
        <is>
          <t>VÄSTRA GÖTALANDS LÄN</t>
        </is>
      </c>
      <c r="E10636" t="inlineStr">
        <is>
          <t>SKÖVDE</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5467-2025</t>
        </is>
      </c>
      <c r="B10637" s="1" t="n">
        <v>45693.32645833334</v>
      </c>
      <c r="C10637" s="1" t="n">
        <v>46011</v>
      </c>
      <c r="D10637" t="inlineStr">
        <is>
          <t>VÄSTRA GÖTALANDS LÄN</t>
        </is>
      </c>
      <c r="E10637" t="inlineStr">
        <is>
          <t>SKÖVDE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5471-2025</t>
        </is>
      </c>
      <c r="B10638" s="1" t="n">
        <v>45693.32864583333</v>
      </c>
      <c r="C10638" s="1" t="n">
        <v>46011</v>
      </c>
      <c r="D10638" t="inlineStr">
        <is>
          <t>VÄSTRA GÖTALANDS LÄN</t>
        </is>
      </c>
      <c r="E10638" t="inlineStr">
        <is>
          <t>SKÖVDE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8257-2023</t>
        </is>
      </c>
      <c r="B10639" s="1" t="n">
        <v>44974</v>
      </c>
      <c r="C10639" s="1" t="n">
        <v>46011</v>
      </c>
      <c r="D10639" t="inlineStr">
        <is>
          <t>VÄSTRA GÖTALANDS LÄN</t>
        </is>
      </c>
      <c r="E10639" t="inlineStr">
        <is>
          <t>FÄRGELANDA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42362-2024</t>
        </is>
      </c>
      <c r="B10640" s="1" t="n">
        <v>45562.86854166666</v>
      </c>
      <c r="C10640" s="1" t="n">
        <v>46011</v>
      </c>
      <c r="D10640" t="inlineStr">
        <is>
          <t>VÄSTRA GÖTALANDS LÄN</t>
        </is>
      </c>
      <c r="E10640" t="inlineStr">
        <is>
          <t>BENGTSFORS</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1636-2024</t>
        </is>
      </c>
      <c r="B10641" s="1" t="n">
        <v>45306</v>
      </c>
      <c r="C10641" s="1" t="n">
        <v>46011</v>
      </c>
      <c r="D10641" t="inlineStr">
        <is>
          <t>VÄSTRA GÖTALANDS LÄN</t>
        </is>
      </c>
      <c r="E10641" t="inlineStr">
        <is>
          <t>SKÖVDE</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1663-2024</t>
        </is>
      </c>
      <c r="B10642" s="1" t="n">
        <v>45306</v>
      </c>
      <c r="C10642" s="1" t="n">
        <v>46011</v>
      </c>
      <c r="D10642" t="inlineStr">
        <is>
          <t>VÄSTRA GÖTALANDS LÄN</t>
        </is>
      </c>
      <c r="E10642" t="inlineStr">
        <is>
          <t>ORUST</t>
        </is>
      </c>
      <c r="G10642" t="n">
        <v>6.1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56602-2023</t>
        </is>
      </c>
      <c r="B10643" s="1" t="n">
        <v>45243.6625</v>
      </c>
      <c r="C10643" s="1" t="n">
        <v>46011</v>
      </c>
      <c r="D10643" t="inlineStr">
        <is>
          <t>VÄSTRA GÖTALANDS LÄN</t>
        </is>
      </c>
      <c r="E10643" t="inlineStr">
        <is>
          <t>STRÖMSTAD</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56654-2023</t>
        </is>
      </c>
      <c r="B10644" s="1" t="n">
        <v>45243.80131944444</v>
      </c>
      <c r="C10644" s="1" t="n">
        <v>46011</v>
      </c>
      <c r="D10644" t="inlineStr">
        <is>
          <t>VÄSTRA GÖTALANDS LÄN</t>
        </is>
      </c>
      <c r="E10644" t="inlineStr">
        <is>
          <t>VARA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56734-2023</t>
        </is>
      </c>
      <c r="B10645" s="1" t="n">
        <v>45244.35234953704</v>
      </c>
      <c r="C10645" s="1" t="n">
        <v>46011</v>
      </c>
      <c r="D10645" t="inlineStr">
        <is>
          <t>VÄSTRA GÖTALANDS LÄN</t>
        </is>
      </c>
      <c r="E10645" t="inlineStr">
        <is>
          <t>VÄNERSBORG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29288-2023</t>
        </is>
      </c>
      <c r="B10646" s="1" t="n">
        <v>45105</v>
      </c>
      <c r="C10646" s="1" t="n">
        <v>46011</v>
      </c>
      <c r="D10646" t="inlineStr">
        <is>
          <t>VÄSTRA GÖTALANDS LÄN</t>
        </is>
      </c>
      <c r="E10646" t="inlineStr">
        <is>
          <t>TIDAHOLM</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35087-2024</t>
        </is>
      </c>
      <c r="B10647" s="1" t="n">
        <v>45527.70637731482</v>
      </c>
      <c r="C10647" s="1" t="n">
        <v>46011</v>
      </c>
      <c r="D10647" t="inlineStr">
        <is>
          <t>VÄSTRA GÖTALANDS LÄN</t>
        </is>
      </c>
      <c r="E10647" t="inlineStr">
        <is>
          <t>LIDKÖPING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29692-2023</t>
        </is>
      </c>
      <c r="B10648" s="1" t="n">
        <v>45107</v>
      </c>
      <c r="C10648" s="1" t="n">
        <v>46011</v>
      </c>
      <c r="D10648" t="inlineStr">
        <is>
          <t>VÄSTRA GÖTALANDS LÄN</t>
        </is>
      </c>
      <c r="E10648" t="inlineStr">
        <is>
          <t>SVENLJUNGA</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42400-2023</t>
        </is>
      </c>
      <c r="B10649" s="1" t="n">
        <v>45180.59076388889</v>
      </c>
      <c r="C10649" s="1" t="n">
        <v>46011</v>
      </c>
      <c r="D10649" t="inlineStr">
        <is>
          <t>VÄSTRA GÖTALANDS LÄN</t>
        </is>
      </c>
      <c r="E10649" t="inlineStr">
        <is>
          <t>ULRICEHAMN</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35112-2024</t>
        </is>
      </c>
      <c r="B10650" s="1" t="n">
        <v>45529.81975694445</v>
      </c>
      <c r="C10650" s="1" t="n">
        <v>46011</v>
      </c>
      <c r="D10650" t="inlineStr">
        <is>
          <t>VÄSTRA GÖTALANDS LÄN</t>
        </is>
      </c>
      <c r="E10650" t="inlineStr">
        <is>
          <t>LIDKÖPING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25173-2023</t>
        </is>
      </c>
      <c r="B10651" s="1" t="n">
        <v>45086</v>
      </c>
      <c r="C10651" s="1" t="n">
        <v>46011</v>
      </c>
      <c r="D10651" t="inlineStr">
        <is>
          <t>VÄSTRA GÖTALANDS LÄN</t>
        </is>
      </c>
      <c r="E10651" t="inlineStr">
        <is>
          <t>ULRICEHAMN</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7676-2025</t>
        </is>
      </c>
      <c r="B10652" s="1" t="n">
        <v>45706.35903935185</v>
      </c>
      <c r="C10652" s="1" t="n">
        <v>46011</v>
      </c>
      <c r="D10652" t="inlineStr">
        <is>
          <t>VÄSTRA GÖTALANDS LÄN</t>
        </is>
      </c>
      <c r="E10652" t="inlineStr">
        <is>
          <t>TÖREBODA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33942-2023</t>
        </is>
      </c>
      <c r="B10653" s="1" t="n">
        <v>45134</v>
      </c>
      <c r="C10653" s="1" t="n">
        <v>46011</v>
      </c>
      <c r="D10653" t="inlineStr">
        <is>
          <t>VÄSTRA GÖTALANDS LÄN</t>
        </is>
      </c>
      <c r="E10653" t="inlineStr">
        <is>
          <t>VÄNERSBORG</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29366-2023</t>
        </is>
      </c>
      <c r="B10654" s="1" t="n">
        <v>45106</v>
      </c>
      <c r="C10654" s="1" t="n">
        <v>46011</v>
      </c>
      <c r="D10654" t="inlineStr">
        <is>
          <t>VÄSTRA GÖTALANDS LÄN</t>
        </is>
      </c>
      <c r="E10654" t="inlineStr">
        <is>
          <t>MARK</t>
        </is>
      </c>
      <c r="F10654" t="inlineStr">
        <is>
          <t>Sveaskog</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29368-2023</t>
        </is>
      </c>
      <c r="B10655" s="1" t="n">
        <v>45106.36351851852</v>
      </c>
      <c r="C10655" s="1" t="n">
        <v>46011</v>
      </c>
      <c r="D10655" t="inlineStr">
        <is>
          <t>VÄSTRA GÖTALANDS LÄN</t>
        </is>
      </c>
      <c r="E10655" t="inlineStr">
        <is>
          <t>MARK</t>
        </is>
      </c>
      <c r="F10655" t="inlineStr">
        <is>
          <t>Sveaskog</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39621-2023</t>
        </is>
      </c>
      <c r="B10656" s="1" t="n">
        <v>45167</v>
      </c>
      <c r="C10656" s="1" t="n">
        <v>46011</v>
      </c>
      <c r="D10656" t="inlineStr">
        <is>
          <t>VÄSTRA GÖTALANDS LÄN</t>
        </is>
      </c>
      <c r="E10656" t="inlineStr">
        <is>
          <t>UDDEVALLA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19781-2025</t>
        </is>
      </c>
      <c r="B10657" s="1" t="n">
        <v>45771.42873842592</v>
      </c>
      <c r="C10657" s="1" t="n">
        <v>46011</v>
      </c>
      <c r="D10657" t="inlineStr">
        <is>
          <t>VÄSTRA GÖTALANDS LÄN</t>
        </is>
      </c>
      <c r="E10657" t="inlineStr">
        <is>
          <t>TROLLHÄTTAN</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19823-2025</t>
        </is>
      </c>
      <c r="B10658" s="1" t="n">
        <v>45771.46571759259</v>
      </c>
      <c r="C10658" s="1" t="n">
        <v>46011</v>
      </c>
      <c r="D10658" t="inlineStr">
        <is>
          <t>VÄSTRA GÖTALANDS LÄN</t>
        </is>
      </c>
      <c r="E10658" t="inlineStr">
        <is>
          <t>ULRICEHAMN</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39707-2023</t>
        </is>
      </c>
      <c r="B10659" s="1" t="n">
        <v>45167.60839120371</v>
      </c>
      <c r="C10659" s="1" t="n">
        <v>46011</v>
      </c>
      <c r="D10659" t="inlineStr">
        <is>
          <t>VÄSTRA GÖTALANDS LÄN</t>
        </is>
      </c>
      <c r="E10659" t="inlineStr">
        <is>
          <t>SVENLJUNGA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17949-2025</t>
        </is>
      </c>
      <c r="B10660" s="1" t="n">
        <v>45760.74111111111</v>
      </c>
      <c r="C10660" s="1" t="n">
        <v>46011</v>
      </c>
      <c r="D10660" t="inlineStr">
        <is>
          <t>VÄSTRA GÖTALANDS LÄN</t>
        </is>
      </c>
      <c r="E10660" t="inlineStr">
        <is>
          <t>TRANEMO</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18001-2025</t>
        </is>
      </c>
      <c r="B10661" s="1" t="n">
        <v>45761.41210648148</v>
      </c>
      <c r="C10661" s="1" t="n">
        <v>46011</v>
      </c>
      <c r="D10661" t="inlineStr">
        <is>
          <t>VÄSTRA GÖTALANDS LÄN</t>
        </is>
      </c>
      <c r="E10661" t="inlineStr">
        <is>
          <t>HÄRRYDA</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9642-2025</t>
        </is>
      </c>
      <c r="B10662" s="1" t="n">
        <v>45715.84020833333</v>
      </c>
      <c r="C10662" s="1" t="n">
        <v>46011</v>
      </c>
      <c r="D10662" t="inlineStr">
        <is>
          <t>VÄSTRA GÖTALANDS LÄN</t>
        </is>
      </c>
      <c r="E10662" t="inlineStr">
        <is>
          <t>VÅRGÅRDA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16824-2025</t>
        </is>
      </c>
      <c r="B10663" s="1" t="n">
        <v>45754.64701388889</v>
      </c>
      <c r="C10663" s="1" t="n">
        <v>46011</v>
      </c>
      <c r="D10663" t="inlineStr">
        <is>
          <t>VÄSTRA GÖTALANDS LÄN</t>
        </is>
      </c>
      <c r="E10663" t="inlineStr">
        <is>
          <t>ALINGSÅS</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1921-2024</t>
        </is>
      </c>
      <c r="B10664" s="1" t="n">
        <v>45308.43202546296</v>
      </c>
      <c r="C10664" s="1" t="n">
        <v>46011</v>
      </c>
      <c r="D10664" t="inlineStr">
        <is>
          <t>VÄSTRA GÖTALANDS LÄN</t>
        </is>
      </c>
      <c r="E10664" t="inlineStr">
        <is>
          <t>BOLLEBYGD</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5811-2025</t>
        </is>
      </c>
      <c r="B10665" s="1" t="n">
        <v>45694.7127662037</v>
      </c>
      <c r="C10665" s="1" t="n">
        <v>46011</v>
      </c>
      <c r="D10665" t="inlineStr">
        <is>
          <t>VÄSTRA GÖTALANDS LÄN</t>
        </is>
      </c>
      <c r="E10665" t="inlineStr">
        <is>
          <t>LILLA EDET</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42250-2023</t>
        </is>
      </c>
      <c r="B10666" s="1" t="n">
        <v>45180.36814814815</v>
      </c>
      <c r="C10666" s="1" t="n">
        <v>46011</v>
      </c>
      <c r="D10666" t="inlineStr">
        <is>
          <t>VÄSTRA GÖTALANDS LÄN</t>
        </is>
      </c>
      <c r="E10666" t="inlineStr">
        <is>
          <t>BOLLEBYGD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24997-2023</t>
        </is>
      </c>
      <c r="B10667" s="1" t="n">
        <v>45085</v>
      </c>
      <c r="C10667" s="1" t="n">
        <v>46011</v>
      </c>
      <c r="D10667" t="inlineStr">
        <is>
          <t>VÄSTRA GÖTALANDS LÄN</t>
        </is>
      </c>
      <c r="E10667" t="inlineStr">
        <is>
          <t>TANUM</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29047-2023</t>
        </is>
      </c>
      <c r="B10668" s="1" t="n">
        <v>45104</v>
      </c>
      <c r="C10668" s="1" t="n">
        <v>46011</v>
      </c>
      <c r="D10668" t="inlineStr">
        <is>
          <t>VÄSTRA GÖTALANDS LÄN</t>
        </is>
      </c>
      <c r="E10668" t="inlineStr">
        <is>
          <t>DALS-ED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6112-2025</t>
        </is>
      </c>
      <c r="B10669" s="1" t="n">
        <v>45698.31922453704</v>
      </c>
      <c r="C10669" s="1" t="n">
        <v>46011</v>
      </c>
      <c r="D10669" t="inlineStr">
        <is>
          <t>VÄSTRA GÖTALANDS LÄN</t>
        </is>
      </c>
      <c r="E10669" t="inlineStr">
        <is>
          <t>TANUM</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3103-2024</t>
        </is>
      </c>
      <c r="B10670" s="1" t="n">
        <v>45316</v>
      </c>
      <c r="C10670" s="1" t="n">
        <v>46011</v>
      </c>
      <c r="D10670" t="inlineStr">
        <is>
          <t>VÄSTRA GÖTALANDS LÄN</t>
        </is>
      </c>
      <c r="E10670" t="inlineStr">
        <is>
          <t>BORÅS</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15466-2025</t>
        </is>
      </c>
      <c r="B10671" s="1" t="n">
        <v>45747.52431712963</v>
      </c>
      <c r="C10671" s="1" t="n">
        <v>46011</v>
      </c>
      <c r="D10671" t="inlineStr">
        <is>
          <t>VÄSTRA GÖTALANDS LÄN</t>
        </is>
      </c>
      <c r="E10671" t="inlineStr">
        <is>
          <t>MUNKEDAL</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15468-2025</t>
        </is>
      </c>
      <c r="B10672" s="1" t="n">
        <v>45747.52716435185</v>
      </c>
      <c r="C10672" s="1" t="n">
        <v>46011</v>
      </c>
      <c r="D10672" t="inlineStr">
        <is>
          <t>VÄSTRA GÖTALANDS LÄN</t>
        </is>
      </c>
      <c r="E10672" t="inlineStr">
        <is>
          <t>MUNKEDAL</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10457-2025</t>
        </is>
      </c>
      <c r="B10673" s="1" t="n">
        <v>45720</v>
      </c>
      <c r="C10673" s="1" t="n">
        <v>46011</v>
      </c>
      <c r="D10673" t="inlineStr">
        <is>
          <t>VÄSTRA GÖTALANDS LÄN</t>
        </is>
      </c>
      <c r="E10673" t="inlineStr">
        <is>
          <t>MARIESTAD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7889-2025</t>
        </is>
      </c>
      <c r="B10674" s="1" t="n">
        <v>45707.23298611111</v>
      </c>
      <c r="C10674" s="1" t="n">
        <v>46011</v>
      </c>
      <c r="D10674" t="inlineStr">
        <is>
          <t>VÄSTRA GÖTALANDS LÄN</t>
        </is>
      </c>
      <c r="E10674" t="inlineStr">
        <is>
          <t>HERRLJUNGA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12967-2024</t>
        </is>
      </c>
      <c r="B10675" s="1" t="n">
        <v>45385.50491898148</v>
      </c>
      <c r="C10675" s="1" t="n">
        <v>46011</v>
      </c>
      <c r="D10675" t="inlineStr">
        <is>
          <t>VÄSTRA GÖTALANDS LÄN</t>
        </is>
      </c>
      <c r="E10675" t="inlineStr">
        <is>
          <t>TROLLHÄTTAN</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24545-2024</t>
        </is>
      </c>
      <c r="B10676" s="1" t="n">
        <v>45460.39697916667</v>
      </c>
      <c r="C10676" s="1" t="n">
        <v>46011</v>
      </c>
      <c r="D10676" t="inlineStr">
        <is>
          <t>VÄSTRA GÖTALANDS LÄN</t>
        </is>
      </c>
      <c r="E10676" t="inlineStr">
        <is>
          <t>TÖREBODA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57411-2024</t>
        </is>
      </c>
      <c r="B10677" s="1" t="n">
        <v>45629.76388888889</v>
      </c>
      <c r="C10677" s="1" t="n">
        <v>46011</v>
      </c>
      <c r="D10677" t="inlineStr">
        <is>
          <t>VÄSTRA GÖTALANDS LÄN</t>
        </is>
      </c>
      <c r="E10677" t="inlineStr">
        <is>
          <t>MARK</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59150-2022</t>
        </is>
      </c>
      <c r="B10678" s="1" t="n">
        <v>44897</v>
      </c>
      <c r="C10678" s="1" t="n">
        <v>46011</v>
      </c>
      <c r="D10678" t="inlineStr">
        <is>
          <t>VÄSTRA GÖTALANDS LÄN</t>
        </is>
      </c>
      <c r="E10678" t="inlineStr">
        <is>
          <t>MUNKEDAL</t>
        </is>
      </c>
      <c r="F10678" t="inlineStr">
        <is>
          <t>Kyrkan</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55780-2021</t>
        </is>
      </c>
      <c r="B10679" s="1" t="n">
        <v>44476.55728009259</v>
      </c>
      <c r="C10679" s="1" t="n">
        <v>46011</v>
      </c>
      <c r="D10679" t="inlineStr">
        <is>
          <t>VÄSTRA GÖTALANDS LÄN</t>
        </is>
      </c>
      <c r="E10679" t="inlineStr">
        <is>
          <t>TIDAHOLM</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42777-2024</t>
        </is>
      </c>
      <c r="B10680" s="1" t="n">
        <v>45566.51762731482</v>
      </c>
      <c r="C10680" s="1" t="n">
        <v>46011</v>
      </c>
      <c r="D10680" t="inlineStr">
        <is>
          <t>VÄSTRA GÖTALANDS LÄN</t>
        </is>
      </c>
      <c r="E10680" t="inlineStr">
        <is>
          <t>DALS-ED</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42795-2024</t>
        </is>
      </c>
      <c r="B10681" s="1" t="n">
        <v>45566.5515625</v>
      </c>
      <c r="C10681" s="1" t="n">
        <v>46011</v>
      </c>
      <c r="D10681" t="inlineStr">
        <is>
          <t>VÄSTRA GÖTALANDS LÄN</t>
        </is>
      </c>
      <c r="E10681" t="inlineStr">
        <is>
          <t>TANUM</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22313-2023</t>
        </is>
      </c>
      <c r="B10682" s="1" t="n">
        <v>45070.47862268519</v>
      </c>
      <c r="C10682" s="1" t="n">
        <v>46011</v>
      </c>
      <c r="D10682" t="inlineStr">
        <is>
          <t>VÄSTRA GÖTALANDS LÄN</t>
        </is>
      </c>
      <c r="E10682" t="inlineStr">
        <is>
          <t>MELLERUD</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41457-2023</t>
        </is>
      </c>
      <c r="B10683" s="1" t="n">
        <v>45175</v>
      </c>
      <c r="C10683" s="1" t="n">
        <v>46011</v>
      </c>
      <c r="D10683" t="inlineStr">
        <is>
          <t>VÄSTRA GÖTALANDS LÄN</t>
        </is>
      </c>
      <c r="E10683" t="inlineStr">
        <is>
          <t>HÄRRYDA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39189-2023</t>
        </is>
      </c>
      <c r="B10684" s="1" t="n">
        <v>45166.39717592593</v>
      </c>
      <c r="C10684" s="1" t="n">
        <v>46011</v>
      </c>
      <c r="D10684" t="inlineStr">
        <is>
          <t>VÄSTRA GÖTALANDS LÄN</t>
        </is>
      </c>
      <c r="E10684" t="inlineStr">
        <is>
          <t>TÖREBODA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72582-2021</t>
        </is>
      </c>
      <c r="B10685" s="1" t="n">
        <v>44546.4675462963</v>
      </c>
      <c r="C10685" s="1" t="n">
        <v>46011</v>
      </c>
      <c r="D10685" t="inlineStr">
        <is>
          <t>VÄSTRA GÖTALANDS LÄN</t>
        </is>
      </c>
      <c r="E10685" t="inlineStr">
        <is>
          <t>BORÅS</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39211-2023</t>
        </is>
      </c>
      <c r="B10686" s="1" t="n">
        <v>45166.41819444444</v>
      </c>
      <c r="C10686" s="1" t="n">
        <v>46011</v>
      </c>
      <c r="D10686" t="inlineStr">
        <is>
          <t>VÄSTRA GÖTALANDS LÄN</t>
        </is>
      </c>
      <c r="E10686" t="inlineStr">
        <is>
          <t>TIBRO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11526-2022</t>
        </is>
      </c>
      <c r="B10687" s="1" t="n">
        <v>44631.37122685185</v>
      </c>
      <c r="C10687" s="1" t="n">
        <v>46011</v>
      </c>
      <c r="D10687" t="inlineStr">
        <is>
          <t>VÄSTRA GÖTALANDS LÄN</t>
        </is>
      </c>
      <c r="E10687" t="inlineStr">
        <is>
          <t>BENGTSFORS</t>
        </is>
      </c>
      <c r="G10687" t="n">
        <v>6.5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11539-2022</t>
        </is>
      </c>
      <c r="B10688" s="1" t="n">
        <v>44631.40365740741</v>
      </c>
      <c r="C10688" s="1" t="n">
        <v>46011</v>
      </c>
      <c r="D10688" t="inlineStr">
        <is>
          <t>VÄSTRA GÖTALANDS LÄN</t>
        </is>
      </c>
      <c r="E10688" t="inlineStr">
        <is>
          <t>ALINGSÅS</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550-2025</t>
        </is>
      </c>
      <c r="B10689" s="1" t="n">
        <v>45664.5280787037</v>
      </c>
      <c r="C10689" s="1" t="n">
        <v>46011</v>
      </c>
      <c r="D10689" t="inlineStr">
        <is>
          <t>VÄSTRA GÖTALANDS LÄN</t>
        </is>
      </c>
      <c r="E10689" t="inlineStr">
        <is>
          <t>TRANEMO</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6699-2022</t>
        </is>
      </c>
      <c r="B10690" s="1" t="n">
        <v>44602</v>
      </c>
      <c r="C10690" s="1" t="n">
        <v>46011</v>
      </c>
      <c r="D10690" t="inlineStr">
        <is>
          <t>VÄSTRA GÖTALANDS LÄN</t>
        </is>
      </c>
      <c r="E10690" t="inlineStr">
        <is>
          <t>STENUNGSUND</t>
        </is>
      </c>
      <c r="G10690" t="n">
        <v>10</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72227-2021</t>
        </is>
      </c>
      <c r="B10691" s="1" t="n">
        <v>44544.86215277778</v>
      </c>
      <c r="C10691" s="1" t="n">
        <v>46011</v>
      </c>
      <c r="D10691" t="inlineStr">
        <is>
          <t>VÄSTRA GÖTALANDS LÄN</t>
        </is>
      </c>
      <c r="E10691" t="inlineStr">
        <is>
          <t>TANUM</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17951-2023</t>
        </is>
      </c>
      <c r="B10692" s="1" t="n">
        <v>45040</v>
      </c>
      <c r="C10692" s="1" t="n">
        <v>46011</v>
      </c>
      <c r="D10692" t="inlineStr">
        <is>
          <t>VÄSTRA GÖTALANDS LÄN</t>
        </is>
      </c>
      <c r="E10692" t="inlineStr">
        <is>
          <t>VÅRGÅRDA</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17972-2023</t>
        </is>
      </c>
      <c r="B10693" s="1" t="n">
        <v>45040</v>
      </c>
      <c r="C10693" s="1" t="n">
        <v>46011</v>
      </c>
      <c r="D10693" t="inlineStr">
        <is>
          <t>VÄSTRA GÖTALANDS LÄN</t>
        </is>
      </c>
      <c r="E10693" t="inlineStr">
        <is>
          <t>VÅRGÅRDA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18003-2023</t>
        </is>
      </c>
      <c r="B10694" s="1" t="n">
        <v>45040</v>
      </c>
      <c r="C10694" s="1" t="n">
        <v>46011</v>
      </c>
      <c r="D10694" t="inlineStr">
        <is>
          <t>VÄSTRA GÖTALANDS LÄN</t>
        </is>
      </c>
      <c r="E10694" t="inlineStr">
        <is>
          <t>FÄRGELANDA</t>
        </is>
      </c>
      <c r="G10694" t="n">
        <v>18.5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50797-2024</t>
        </is>
      </c>
      <c r="B10695" s="1" t="n">
        <v>45602.49099537037</v>
      </c>
      <c r="C10695" s="1" t="n">
        <v>46011</v>
      </c>
      <c r="D10695" t="inlineStr">
        <is>
          <t>VÄSTRA GÖTALANDS LÄN</t>
        </is>
      </c>
      <c r="E10695" t="inlineStr">
        <is>
          <t>TRANEMO</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3619-2023</t>
        </is>
      </c>
      <c r="B10696" s="1" t="n">
        <v>44950.63637731481</v>
      </c>
      <c r="C10696" s="1" t="n">
        <v>46011</v>
      </c>
      <c r="D10696" t="inlineStr">
        <is>
          <t>VÄSTRA GÖTALANDS LÄN</t>
        </is>
      </c>
      <c r="E10696" t="inlineStr">
        <is>
          <t>VÅRGÅRDA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60433-2024</t>
        </is>
      </c>
      <c r="B10697" s="1" t="n">
        <v>45643.57449074074</v>
      </c>
      <c r="C10697" s="1" t="n">
        <v>46011</v>
      </c>
      <c r="D10697" t="inlineStr">
        <is>
          <t>VÄSTRA GÖTALANDS LÄN</t>
        </is>
      </c>
      <c r="E10697" t="inlineStr">
        <is>
          <t>TÖREBODA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26883-2024</t>
        </is>
      </c>
      <c r="B10698" s="1" t="n">
        <v>45470.63859953704</v>
      </c>
      <c r="C10698" s="1" t="n">
        <v>46011</v>
      </c>
      <c r="D10698" t="inlineStr">
        <is>
          <t>VÄSTRA GÖTALANDS LÄN</t>
        </is>
      </c>
      <c r="E10698" t="inlineStr">
        <is>
          <t>FÄRGELANDA</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10091-2022</t>
        </is>
      </c>
      <c r="B10699" s="1" t="n">
        <v>44621.67773148148</v>
      </c>
      <c r="C10699" s="1" t="n">
        <v>46011</v>
      </c>
      <c r="D10699" t="inlineStr">
        <is>
          <t>VÄSTRA GÖTALANDS LÄN</t>
        </is>
      </c>
      <c r="E10699" t="inlineStr">
        <is>
          <t>BENGTSFORS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10092-2022</t>
        </is>
      </c>
      <c r="B10700" s="1" t="n">
        <v>44621</v>
      </c>
      <c r="C10700" s="1" t="n">
        <v>46011</v>
      </c>
      <c r="D10700" t="inlineStr">
        <is>
          <t>VÄSTRA GÖTALANDS LÄN</t>
        </is>
      </c>
      <c r="E10700" t="inlineStr">
        <is>
          <t>DALS-ED</t>
        </is>
      </c>
      <c r="F10700" t="inlineStr">
        <is>
          <t>Övriga Aktiebolag</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1134-2022</t>
        </is>
      </c>
      <c r="B10701" s="1" t="n">
        <v>44572.38181712963</v>
      </c>
      <c r="C10701" s="1" t="n">
        <v>46011</v>
      </c>
      <c r="D10701" t="inlineStr">
        <is>
          <t>VÄSTRA GÖTALANDS LÄN</t>
        </is>
      </c>
      <c r="E10701" t="inlineStr">
        <is>
          <t>TANUM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10511-2023</t>
        </is>
      </c>
      <c r="B10702" s="1" t="n">
        <v>44987.74418981482</v>
      </c>
      <c r="C10702" s="1" t="n">
        <v>46011</v>
      </c>
      <c r="D10702" t="inlineStr">
        <is>
          <t>VÄSTRA GÖTALANDS LÄN</t>
        </is>
      </c>
      <c r="E10702" t="inlineStr">
        <is>
          <t>FALKÖPING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10517-2023</t>
        </is>
      </c>
      <c r="B10703" s="1" t="n">
        <v>44987.8475462963</v>
      </c>
      <c r="C10703" s="1" t="n">
        <v>46011</v>
      </c>
      <c r="D10703" t="inlineStr">
        <is>
          <t>VÄSTRA GÖTALANDS LÄN</t>
        </is>
      </c>
      <c r="E10703" t="inlineStr">
        <is>
          <t>SVENLJUNGA</t>
        </is>
      </c>
      <c r="G10703" t="n">
        <v>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32175-2024</t>
        </is>
      </c>
      <c r="B10704" s="1" t="n">
        <v>45511.61238425926</v>
      </c>
      <c r="C10704" s="1" t="n">
        <v>46011</v>
      </c>
      <c r="D10704" t="inlineStr">
        <is>
          <t>VÄSTRA GÖTALANDS LÄN</t>
        </is>
      </c>
      <c r="E10704" t="inlineStr">
        <is>
          <t>ORUST</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7238-2024</t>
        </is>
      </c>
      <c r="B10705" s="1" t="n">
        <v>45344.66310185185</v>
      </c>
      <c r="C10705" s="1" t="n">
        <v>46011</v>
      </c>
      <c r="D10705" t="inlineStr">
        <is>
          <t>VÄSTRA GÖTALANDS LÄN</t>
        </is>
      </c>
      <c r="E10705" t="inlineStr">
        <is>
          <t>VARA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40598-2024</t>
        </is>
      </c>
      <c r="B10706" s="1" t="n">
        <v>45556.34140046296</v>
      </c>
      <c r="C10706" s="1" t="n">
        <v>46011</v>
      </c>
      <c r="D10706" t="inlineStr">
        <is>
          <t>VÄSTRA GÖTALANDS LÄN</t>
        </is>
      </c>
      <c r="E10706" t="inlineStr">
        <is>
          <t>TÖREBODA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59887-2021</t>
        </is>
      </c>
      <c r="B10707" s="1" t="n">
        <v>44494</v>
      </c>
      <c r="C10707" s="1" t="n">
        <v>46011</v>
      </c>
      <c r="D10707" t="inlineStr">
        <is>
          <t>VÄSTRA GÖTALANDS LÄN</t>
        </is>
      </c>
      <c r="E10707" t="inlineStr">
        <is>
          <t>KARLSBORG</t>
        </is>
      </c>
      <c r="F10707" t="inlineStr">
        <is>
          <t>Övriga statliga verk och myndigheter</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59890-2021</t>
        </is>
      </c>
      <c r="B10708" s="1" t="n">
        <v>44494</v>
      </c>
      <c r="C10708" s="1" t="n">
        <v>46011</v>
      </c>
      <c r="D10708" t="inlineStr">
        <is>
          <t>VÄSTRA GÖTALANDS LÄN</t>
        </is>
      </c>
      <c r="E10708" t="inlineStr">
        <is>
          <t>KARLSBORG</t>
        </is>
      </c>
      <c r="F10708" t="inlineStr">
        <is>
          <t>Övriga statliga verk och myndigheter</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63626-2023</t>
        </is>
      </c>
      <c r="B10709" s="1" t="n">
        <v>45275</v>
      </c>
      <c r="C10709" s="1" t="n">
        <v>46011</v>
      </c>
      <c r="D10709" t="inlineStr">
        <is>
          <t>VÄSTRA GÖTALANDS LÄN</t>
        </is>
      </c>
      <c r="E10709" t="inlineStr">
        <is>
          <t>ORUST</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32439-2023</t>
        </is>
      </c>
      <c r="B10710" s="1" t="n">
        <v>45120</v>
      </c>
      <c r="C10710" s="1" t="n">
        <v>46011</v>
      </c>
      <c r="D10710" t="inlineStr">
        <is>
          <t>VÄSTRA GÖTALANDS LÄN</t>
        </is>
      </c>
      <c r="E10710" t="inlineStr">
        <is>
          <t>TIDAHOLM</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58584-2024</t>
        </is>
      </c>
      <c r="B10711" s="1" t="n">
        <v>45632</v>
      </c>
      <c r="C10711" s="1" t="n">
        <v>46011</v>
      </c>
      <c r="D10711" t="inlineStr">
        <is>
          <t>VÄSTRA GÖTALANDS LÄN</t>
        </is>
      </c>
      <c r="E10711" t="inlineStr">
        <is>
          <t>DALS-ED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46518-2024</t>
        </is>
      </c>
      <c r="B10712" s="1" t="n">
        <v>45582.62869212963</v>
      </c>
      <c r="C10712" s="1" t="n">
        <v>46011</v>
      </c>
      <c r="D10712" t="inlineStr">
        <is>
          <t>VÄSTRA GÖTALANDS LÄN</t>
        </is>
      </c>
      <c r="E10712" t="inlineStr">
        <is>
          <t>ÅMÅL</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59217-2024</t>
        </is>
      </c>
      <c r="B10713" s="1" t="n">
        <v>45637</v>
      </c>
      <c r="C10713" s="1" t="n">
        <v>46011</v>
      </c>
      <c r="D10713" t="inlineStr">
        <is>
          <t>VÄSTRA GÖTALANDS LÄN</t>
        </is>
      </c>
      <c r="E10713" t="inlineStr">
        <is>
          <t>BORÅS</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46534-2024</t>
        </is>
      </c>
      <c r="B10714" s="1" t="n">
        <v>45582.64283564815</v>
      </c>
      <c r="C10714" s="1" t="n">
        <v>46011</v>
      </c>
      <c r="D10714" t="inlineStr">
        <is>
          <t>VÄSTRA GÖTALANDS LÄN</t>
        </is>
      </c>
      <c r="E10714" t="inlineStr">
        <is>
          <t>FÄRGELANDA</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60189-2024</t>
        </is>
      </c>
      <c r="B10715" s="1" t="n">
        <v>45640</v>
      </c>
      <c r="C10715" s="1" t="n">
        <v>46011</v>
      </c>
      <c r="D10715" t="inlineStr">
        <is>
          <t>VÄSTRA GÖTALANDS LÄN</t>
        </is>
      </c>
      <c r="E10715" t="inlineStr">
        <is>
          <t>GRÄSTORP</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61312-2023</t>
        </is>
      </c>
      <c r="B10716" s="1" t="n">
        <v>45264.56998842592</v>
      </c>
      <c r="C10716" s="1" t="n">
        <v>46011</v>
      </c>
      <c r="D10716" t="inlineStr">
        <is>
          <t>VÄSTRA GÖTALANDS LÄN</t>
        </is>
      </c>
      <c r="E10716" t="inlineStr">
        <is>
          <t>LIDKÖPING</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60409-2024</t>
        </is>
      </c>
      <c r="B10717" s="1" t="n">
        <v>45643.51184027778</v>
      </c>
      <c r="C10717" s="1" t="n">
        <v>46011</v>
      </c>
      <c r="D10717" t="inlineStr">
        <is>
          <t>VÄSTRA GÖTALANDS LÄN</t>
        </is>
      </c>
      <c r="E10717" t="inlineStr">
        <is>
          <t>ULRICEHAMN</t>
        </is>
      </c>
      <c r="G10717" t="n">
        <v>10.7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34183-2023</t>
        </is>
      </c>
      <c r="B10718" s="1" t="n">
        <v>45138</v>
      </c>
      <c r="C10718" s="1" t="n">
        <v>46011</v>
      </c>
      <c r="D10718" t="inlineStr">
        <is>
          <t>VÄSTRA GÖTALANDS LÄN</t>
        </is>
      </c>
      <c r="E10718" t="inlineStr">
        <is>
          <t>VÄNERSBORG</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60768-2023</t>
        </is>
      </c>
      <c r="B10719" s="1" t="n">
        <v>45260.62027777778</v>
      </c>
      <c r="C10719" s="1" t="n">
        <v>46011</v>
      </c>
      <c r="D10719" t="inlineStr">
        <is>
          <t>VÄSTRA GÖTALANDS LÄN</t>
        </is>
      </c>
      <c r="E10719" t="inlineStr">
        <is>
          <t>TANUM</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13558-2024</t>
        </is>
      </c>
      <c r="B10720" s="1" t="n">
        <v>45388.54862268519</v>
      </c>
      <c r="C10720" s="1" t="n">
        <v>46011</v>
      </c>
      <c r="D10720" t="inlineStr">
        <is>
          <t>VÄSTRA GÖTALANDS LÄN</t>
        </is>
      </c>
      <c r="E10720" t="inlineStr">
        <is>
          <t>TRANEMO</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13559-2024</t>
        </is>
      </c>
      <c r="B10721" s="1" t="n">
        <v>45388.57505787037</v>
      </c>
      <c r="C10721" s="1" t="n">
        <v>46011</v>
      </c>
      <c r="D10721" t="inlineStr">
        <is>
          <t>VÄSTRA GÖTALANDS LÄN</t>
        </is>
      </c>
      <c r="E10721" t="inlineStr">
        <is>
          <t>FÄRGELANDA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33194-2023</t>
        </is>
      </c>
      <c r="B10722" s="1" t="n">
        <v>45127</v>
      </c>
      <c r="C10722" s="1" t="n">
        <v>46011</v>
      </c>
      <c r="D10722" t="inlineStr">
        <is>
          <t>VÄSTRA GÖTALANDS LÄN</t>
        </is>
      </c>
      <c r="E10722" t="inlineStr">
        <is>
          <t>MUNKEDAL</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23475-2023</t>
        </is>
      </c>
      <c r="B10723" s="1" t="n">
        <v>45076</v>
      </c>
      <c r="C10723" s="1" t="n">
        <v>46011</v>
      </c>
      <c r="D10723" t="inlineStr">
        <is>
          <t>VÄSTRA GÖTALANDS LÄN</t>
        </is>
      </c>
      <c r="E10723" t="inlineStr">
        <is>
          <t>FALKÖPING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7136-2022</t>
        </is>
      </c>
      <c r="B10724" s="1" t="n">
        <v>44603</v>
      </c>
      <c r="C10724" s="1" t="n">
        <v>46011</v>
      </c>
      <c r="D10724" t="inlineStr">
        <is>
          <t>VÄSTRA GÖTALANDS LÄN</t>
        </is>
      </c>
      <c r="E10724" t="inlineStr">
        <is>
          <t>STRÖMSTAD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16922-2024</t>
        </is>
      </c>
      <c r="B10725" s="1" t="n">
        <v>45411.65899305556</v>
      </c>
      <c r="C10725" s="1" t="n">
        <v>46011</v>
      </c>
      <c r="D10725" t="inlineStr">
        <is>
          <t>VÄSTRA GÖTALANDS LÄN</t>
        </is>
      </c>
      <c r="E10725" t="inlineStr">
        <is>
          <t>VÄNERSBORG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70259-2021</t>
        </is>
      </c>
      <c r="B10726" s="1" t="n">
        <v>44536</v>
      </c>
      <c r="C10726" s="1" t="n">
        <v>46011</v>
      </c>
      <c r="D10726" t="inlineStr">
        <is>
          <t>VÄSTRA GÖTALANDS LÄN</t>
        </is>
      </c>
      <c r="E10726" t="inlineStr">
        <is>
          <t>MARIESTAD</t>
        </is>
      </c>
      <c r="F10726" t="inlineStr">
        <is>
          <t>Sveaskog</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31989-2022</t>
        </is>
      </c>
      <c r="B10727" s="1" t="n">
        <v>44778.30577546296</v>
      </c>
      <c r="C10727" s="1" t="n">
        <v>46011</v>
      </c>
      <c r="D10727" t="inlineStr">
        <is>
          <t>VÄSTRA GÖTALANDS LÄN</t>
        </is>
      </c>
      <c r="E10727" t="inlineStr">
        <is>
          <t>GULLSPÅNG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66386-2021</t>
        </is>
      </c>
      <c r="B10728" s="1" t="n">
        <v>44518</v>
      </c>
      <c r="C10728" s="1" t="n">
        <v>46011</v>
      </c>
      <c r="D10728" t="inlineStr">
        <is>
          <t>VÄSTRA GÖTALANDS LÄN</t>
        </is>
      </c>
      <c r="E10728" t="inlineStr">
        <is>
          <t>VÅRGÅRDA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53088-2023</t>
        </is>
      </c>
      <c r="B10729" s="1" t="n">
        <v>45227.69599537037</v>
      </c>
      <c r="C10729" s="1" t="n">
        <v>46011</v>
      </c>
      <c r="D10729" t="inlineStr">
        <is>
          <t>VÄSTRA GÖTALANDS LÄN</t>
        </is>
      </c>
      <c r="E10729" t="inlineStr">
        <is>
          <t>ULRICEHAMN</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16011-2023</t>
        </is>
      </c>
      <c r="B10730" s="1" t="n">
        <v>45026</v>
      </c>
      <c r="C10730" s="1" t="n">
        <v>46011</v>
      </c>
      <c r="D10730" t="inlineStr">
        <is>
          <t>VÄSTRA GÖTALANDS LÄN</t>
        </is>
      </c>
      <c r="E10730" t="inlineStr">
        <is>
          <t>GRÄSTORP</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15120-2024</t>
        </is>
      </c>
      <c r="B10731" s="1" t="n">
        <v>45399.69380787037</v>
      </c>
      <c r="C10731" s="1" t="n">
        <v>46011</v>
      </c>
      <c r="D10731" t="inlineStr">
        <is>
          <t>VÄSTRA GÖTALANDS LÄN</t>
        </is>
      </c>
      <c r="E10731" t="inlineStr">
        <is>
          <t>ULRICEHAMN</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18970-2023</t>
        </is>
      </c>
      <c r="B10732" s="1" t="n">
        <v>45044</v>
      </c>
      <c r="C10732" s="1" t="n">
        <v>46011</v>
      </c>
      <c r="D10732" t="inlineStr">
        <is>
          <t>VÄSTRA GÖTALANDS LÄN</t>
        </is>
      </c>
      <c r="E10732" t="inlineStr">
        <is>
          <t>ÅMÅL</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10007-2025</t>
        </is>
      </c>
      <c r="B10733" s="1" t="n">
        <v>45719.45627314815</v>
      </c>
      <c r="C10733" s="1" t="n">
        <v>46011</v>
      </c>
      <c r="D10733" t="inlineStr">
        <is>
          <t>VÄSTRA GÖTALANDS LÄN</t>
        </is>
      </c>
      <c r="E10733" t="inlineStr">
        <is>
          <t>KARLSBORG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48504-2024</t>
        </is>
      </c>
      <c r="B10734" s="1" t="n">
        <v>45593.24111111111</v>
      </c>
      <c r="C10734" s="1" t="n">
        <v>46011</v>
      </c>
      <c r="D10734" t="inlineStr">
        <is>
          <t>VÄSTRA GÖTALANDS LÄN</t>
        </is>
      </c>
      <c r="E10734" t="inlineStr">
        <is>
          <t>BORÅS</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38383-2023</t>
        </is>
      </c>
      <c r="B10735" s="1" t="n">
        <v>45162.25072916667</v>
      </c>
      <c r="C10735" s="1" t="n">
        <v>46011</v>
      </c>
      <c r="D10735" t="inlineStr">
        <is>
          <t>VÄSTRA GÖTALANDS LÄN</t>
        </is>
      </c>
      <c r="E10735" t="inlineStr">
        <is>
          <t>DALS-ED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41602-2023</t>
        </is>
      </c>
      <c r="B10736" s="1" t="n">
        <v>45175.64809027778</v>
      </c>
      <c r="C10736" s="1" t="n">
        <v>46011</v>
      </c>
      <c r="D10736" t="inlineStr">
        <is>
          <t>VÄSTRA GÖTALANDS LÄN</t>
        </is>
      </c>
      <c r="E10736" t="inlineStr">
        <is>
          <t>SKARA</t>
        </is>
      </c>
      <c r="F10736" t="inlineStr">
        <is>
          <t>Kommuner</t>
        </is>
      </c>
      <c r="G10736" t="n">
        <v>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27270-2023</t>
        </is>
      </c>
      <c r="B10737" s="1" t="n">
        <v>45096</v>
      </c>
      <c r="C10737" s="1" t="n">
        <v>46011</v>
      </c>
      <c r="D10737" t="inlineStr">
        <is>
          <t>VÄSTRA GÖTALANDS LÄN</t>
        </is>
      </c>
      <c r="E10737" t="inlineStr">
        <is>
          <t>TIDAHOLM</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27231-2023</t>
        </is>
      </c>
      <c r="B10738" s="1" t="n">
        <v>45096.59550925926</v>
      </c>
      <c r="C10738" s="1" t="n">
        <v>46011</v>
      </c>
      <c r="D10738" t="inlineStr">
        <is>
          <t>VÄSTRA GÖTALANDS LÄN</t>
        </is>
      </c>
      <c r="E10738" t="inlineStr">
        <is>
          <t>TÖREBODA</t>
        </is>
      </c>
      <c r="F10738" t="inlineStr">
        <is>
          <t>Övriga statliga verk och myndigheter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41672-2023</t>
        </is>
      </c>
      <c r="B10739" s="1" t="n">
        <v>45176.32940972222</v>
      </c>
      <c r="C10739" s="1" t="n">
        <v>46011</v>
      </c>
      <c r="D10739" t="inlineStr">
        <is>
          <t>VÄSTRA GÖTALANDS LÄN</t>
        </is>
      </c>
      <c r="E10739" t="inlineStr">
        <is>
          <t>HERRLJUNGA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17502-2024</t>
        </is>
      </c>
      <c r="B10740" s="1" t="n">
        <v>45415.55523148148</v>
      </c>
      <c r="C10740" s="1" t="n">
        <v>46011</v>
      </c>
      <c r="D10740" t="inlineStr">
        <is>
          <t>VÄSTRA GÖTALANDS LÄN</t>
        </is>
      </c>
      <c r="E10740" t="inlineStr">
        <is>
          <t>DALS-ED</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53819-2024</t>
        </is>
      </c>
      <c r="B10741" s="1" t="n">
        <v>45615.60525462963</v>
      </c>
      <c r="C10741" s="1" t="n">
        <v>46011</v>
      </c>
      <c r="D10741" t="inlineStr">
        <is>
          <t>VÄSTRA GÖTALANDS LÄN</t>
        </is>
      </c>
      <c r="E10741" t="inlineStr">
        <is>
          <t>DALS-ED</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53839-2024</t>
        </is>
      </c>
      <c r="B10742" s="1" t="n">
        <v>45615.62634259259</v>
      </c>
      <c r="C10742" s="1" t="n">
        <v>46011</v>
      </c>
      <c r="D10742" t="inlineStr">
        <is>
          <t>VÄSTRA GÖTALANDS LÄN</t>
        </is>
      </c>
      <c r="E10742" t="inlineStr">
        <is>
          <t>HJO</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16344-2024</t>
        </is>
      </c>
      <c r="B10743" s="1" t="n">
        <v>45407.5666550926</v>
      </c>
      <c r="C10743" s="1" t="n">
        <v>46011</v>
      </c>
      <c r="D10743" t="inlineStr">
        <is>
          <t>VÄSTRA GÖTALANDS LÄN</t>
        </is>
      </c>
      <c r="E10743" t="inlineStr">
        <is>
          <t>SVENLJUNGA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29186-2021</t>
        </is>
      </c>
      <c r="B10744" s="1" t="n">
        <v>44358</v>
      </c>
      <c r="C10744" s="1" t="n">
        <v>46011</v>
      </c>
      <c r="D10744" t="inlineStr">
        <is>
          <t>VÄSTRA GÖTALANDS LÄN</t>
        </is>
      </c>
      <c r="E10744" t="inlineStr">
        <is>
          <t>ALINGSÅS</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51169-2021</t>
        </is>
      </c>
      <c r="B10745" s="1" t="n">
        <v>44461</v>
      </c>
      <c r="C10745" s="1" t="n">
        <v>46011</v>
      </c>
      <c r="D10745" t="inlineStr">
        <is>
          <t>VÄSTRA GÖTALANDS LÄN</t>
        </is>
      </c>
      <c r="E10745" t="inlineStr">
        <is>
          <t>ALINGSÅS</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33616-2023</t>
        </is>
      </c>
      <c r="B10746" s="1" t="n">
        <v>45132</v>
      </c>
      <c r="C10746" s="1" t="n">
        <v>46011</v>
      </c>
      <c r="D10746" t="inlineStr">
        <is>
          <t>VÄSTRA GÖTALANDS LÄN</t>
        </is>
      </c>
      <c r="E10746" t="inlineStr">
        <is>
          <t>DALS-ED</t>
        </is>
      </c>
      <c r="G10746" t="n">
        <v>26.5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14167-2023</t>
        </is>
      </c>
      <c r="B10747" s="1" t="n">
        <v>45009.505625</v>
      </c>
      <c r="C10747" s="1" t="n">
        <v>46011</v>
      </c>
      <c r="D10747" t="inlineStr">
        <is>
          <t>VÄSTRA GÖTALANDS LÄN</t>
        </is>
      </c>
      <c r="E10747" t="inlineStr">
        <is>
          <t>HERRLJUNGA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54615-2024</t>
        </is>
      </c>
      <c r="B10748" s="1" t="n">
        <v>45617.72695601852</v>
      </c>
      <c r="C10748" s="1" t="n">
        <v>46011</v>
      </c>
      <c r="D10748" t="inlineStr">
        <is>
          <t>VÄSTRA GÖTALANDS LÄN</t>
        </is>
      </c>
      <c r="E10748" t="inlineStr">
        <is>
          <t>ALINGSÅS</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72944-2021</t>
        </is>
      </c>
      <c r="B10749" s="1" t="n">
        <v>44547.87140046297</v>
      </c>
      <c r="C10749" s="1" t="n">
        <v>46011</v>
      </c>
      <c r="D10749" t="inlineStr">
        <is>
          <t>VÄSTRA GÖTALANDS LÄN</t>
        </is>
      </c>
      <c r="E10749" t="inlineStr">
        <is>
          <t>STENUNGSUND</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21373-2023</t>
        </is>
      </c>
      <c r="B10750" s="1" t="n">
        <v>45063.31554398148</v>
      </c>
      <c r="C10750" s="1" t="n">
        <v>46011</v>
      </c>
      <c r="D10750" t="inlineStr">
        <is>
          <t>VÄSTRA GÖTALANDS LÄN</t>
        </is>
      </c>
      <c r="E10750" t="inlineStr">
        <is>
          <t>BENGTSFORS</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53514-2024</t>
        </is>
      </c>
      <c r="B10751" s="1" t="n">
        <v>45614.60059027778</v>
      </c>
      <c r="C10751" s="1" t="n">
        <v>46011</v>
      </c>
      <c r="D10751" t="inlineStr">
        <is>
          <t>VÄSTRA GÖTALANDS LÄN</t>
        </is>
      </c>
      <c r="E10751" t="inlineStr">
        <is>
          <t>MUNKEDAL</t>
        </is>
      </c>
      <c r="G10751" t="n">
        <v>7.7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28851-2024</t>
        </is>
      </c>
      <c r="B10752" s="1" t="n">
        <v>45478.78487268519</v>
      </c>
      <c r="C10752" s="1" t="n">
        <v>46011</v>
      </c>
      <c r="D10752" t="inlineStr">
        <is>
          <t>VÄSTRA GÖTALANDS LÄN</t>
        </is>
      </c>
      <c r="E10752" t="inlineStr">
        <is>
          <t>VARA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24115-2023</t>
        </is>
      </c>
      <c r="B10753" s="1" t="n">
        <v>45079.47261574074</v>
      </c>
      <c r="C10753" s="1" t="n">
        <v>46011</v>
      </c>
      <c r="D10753" t="inlineStr">
        <is>
          <t>VÄSTRA GÖTALANDS LÄN</t>
        </is>
      </c>
      <c r="E10753" t="inlineStr">
        <is>
          <t>BENGTSFORS</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2625-2022</t>
        </is>
      </c>
      <c r="B10754" s="1" t="n">
        <v>44580.45658564815</v>
      </c>
      <c r="C10754" s="1" t="n">
        <v>46011</v>
      </c>
      <c r="D10754" t="inlineStr">
        <is>
          <t>VÄSTRA GÖTALANDS LÄN</t>
        </is>
      </c>
      <c r="E10754" t="inlineStr">
        <is>
          <t>MARK</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22021-2024</t>
        </is>
      </c>
      <c r="B10755" s="1" t="n">
        <v>45443</v>
      </c>
      <c r="C10755" s="1" t="n">
        <v>46011</v>
      </c>
      <c r="D10755" t="inlineStr">
        <is>
          <t>VÄSTRA GÖTALANDS LÄN</t>
        </is>
      </c>
      <c r="E10755" t="inlineStr">
        <is>
          <t>TÖREBODA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22037-2024</t>
        </is>
      </c>
      <c r="B10756" s="1" t="n">
        <v>45443.60728009259</v>
      </c>
      <c r="C10756" s="1" t="n">
        <v>46011</v>
      </c>
      <c r="D10756" t="inlineStr">
        <is>
          <t>VÄSTRA GÖTALANDS LÄN</t>
        </is>
      </c>
      <c r="E10756" t="inlineStr">
        <is>
          <t>MARK</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22086-2024</t>
        </is>
      </c>
      <c r="B10757" s="1" t="n">
        <v>45443.69244212963</v>
      </c>
      <c r="C10757" s="1" t="n">
        <v>46011</v>
      </c>
      <c r="D10757" t="inlineStr">
        <is>
          <t>VÄSTRA GÖTALANDS LÄN</t>
        </is>
      </c>
      <c r="E10757" t="inlineStr">
        <is>
          <t>TIDAHOLM</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47511-2024</t>
        </is>
      </c>
      <c r="B10758" s="1" t="n">
        <v>45587.61174768519</v>
      </c>
      <c r="C10758" s="1" t="n">
        <v>46011</v>
      </c>
      <c r="D10758" t="inlineStr">
        <is>
          <t>VÄSTRA GÖTALANDS LÄN</t>
        </is>
      </c>
      <c r="E10758" t="inlineStr">
        <is>
          <t>LILLA EDET</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47564-2024</t>
        </is>
      </c>
      <c r="B10759" s="1" t="n">
        <v>45587</v>
      </c>
      <c r="C10759" s="1" t="n">
        <v>46011</v>
      </c>
      <c r="D10759" t="inlineStr">
        <is>
          <t>VÄSTRA GÖTALANDS LÄN</t>
        </is>
      </c>
      <c r="E10759" t="inlineStr">
        <is>
          <t>TIDAHOLM</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35842-2023</t>
        </is>
      </c>
      <c r="B10760" s="1" t="n">
        <v>45148.49081018518</v>
      </c>
      <c r="C10760" s="1" t="n">
        <v>46011</v>
      </c>
      <c r="D10760" t="inlineStr">
        <is>
          <t>VÄSTRA GÖTALANDS LÄN</t>
        </is>
      </c>
      <c r="E10760" t="inlineStr">
        <is>
          <t>FALKÖPING</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37356-2023</t>
        </is>
      </c>
      <c r="B10761" s="1" t="n">
        <v>45156.47878472223</v>
      </c>
      <c r="C10761" s="1" t="n">
        <v>46011</v>
      </c>
      <c r="D10761" t="inlineStr">
        <is>
          <t>VÄSTRA GÖTALANDS LÄN</t>
        </is>
      </c>
      <c r="E10761" t="inlineStr">
        <is>
          <t>BENGTSFORS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4704-2024</t>
        </is>
      </c>
      <c r="B10762" s="1" t="n">
        <v>45328</v>
      </c>
      <c r="C10762" s="1" t="n">
        <v>46011</v>
      </c>
      <c r="D10762" t="inlineStr">
        <is>
          <t>VÄSTRA GÖTALANDS LÄN</t>
        </is>
      </c>
      <c r="E10762" t="inlineStr">
        <is>
          <t>TRANEMO</t>
        </is>
      </c>
      <c r="F10762" t="inlineStr">
        <is>
          <t>Sveaskog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37371-2023</t>
        </is>
      </c>
      <c r="B10763" s="1" t="n">
        <v>45156.51420138889</v>
      </c>
      <c r="C10763" s="1" t="n">
        <v>46011</v>
      </c>
      <c r="D10763" t="inlineStr">
        <is>
          <t>VÄSTRA GÖTALANDS LÄN</t>
        </is>
      </c>
      <c r="E10763" t="inlineStr">
        <is>
          <t>TROLLHÄTTAN</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37394-2023</t>
        </is>
      </c>
      <c r="B10764" s="1" t="n">
        <v>45155</v>
      </c>
      <c r="C10764" s="1" t="n">
        <v>46011</v>
      </c>
      <c r="D10764" t="inlineStr">
        <is>
          <t>VÄSTRA GÖTALANDS LÄN</t>
        </is>
      </c>
      <c r="E10764" t="inlineStr">
        <is>
          <t>BENGTSFORS</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3023-2024</t>
        </is>
      </c>
      <c r="B10765" s="1" t="n">
        <v>45316</v>
      </c>
      <c r="C10765" s="1" t="n">
        <v>46011</v>
      </c>
      <c r="D10765" t="inlineStr">
        <is>
          <t>VÄSTRA GÖTALANDS LÄN</t>
        </is>
      </c>
      <c r="E10765" t="inlineStr">
        <is>
          <t>TRANEMO</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38509-2023</t>
        </is>
      </c>
      <c r="B10766" s="1" t="n">
        <v>45162.51400462963</v>
      </c>
      <c r="C10766" s="1" t="n">
        <v>46011</v>
      </c>
      <c r="D10766" t="inlineStr">
        <is>
          <t>VÄSTRA GÖTALANDS LÄN</t>
        </is>
      </c>
      <c r="E10766" t="inlineStr">
        <is>
          <t>BORÅS</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3431-2024</t>
        </is>
      </c>
      <c r="B10767" s="1" t="n">
        <v>45317</v>
      </c>
      <c r="C10767" s="1" t="n">
        <v>46011</v>
      </c>
      <c r="D10767" t="inlineStr">
        <is>
          <t>VÄSTRA GÖTALANDS LÄN</t>
        </is>
      </c>
      <c r="E10767" t="inlineStr">
        <is>
          <t>UDDEVALLA</t>
        </is>
      </c>
      <c r="F10767" t="inlineStr">
        <is>
          <t>Kyrkan</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3435-2024</t>
        </is>
      </c>
      <c r="B10768" s="1" t="n">
        <v>45317</v>
      </c>
      <c r="C10768" s="1" t="n">
        <v>46011</v>
      </c>
      <c r="D10768" t="inlineStr">
        <is>
          <t>VÄSTRA GÖTALANDS LÄN</t>
        </is>
      </c>
      <c r="E10768" t="inlineStr">
        <is>
          <t>UDDEVALLA</t>
        </is>
      </c>
      <c r="F10768" t="inlineStr">
        <is>
          <t>Kyrkan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7491-2025</t>
        </is>
      </c>
      <c r="B10769" s="1" t="n">
        <v>45705.48096064815</v>
      </c>
      <c r="C10769" s="1" t="n">
        <v>46011</v>
      </c>
      <c r="D10769" t="inlineStr">
        <is>
          <t>VÄSTRA GÖTALANDS LÄN</t>
        </is>
      </c>
      <c r="E10769" t="inlineStr">
        <is>
          <t>MARIESTAD</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7494-2025</t>
        </is>
      </c>
      <c r="B10770" s="1" t="n">
        <v>45705.48537037037</v>
      </c>
      <c r="C10770" s="1" t="n">
        <v>46011</v>
      </c>
      <c r="D10770" t="inlineStr">
        <is>
          <t>VÄSTRA GÖTALANDS LÄN</t>
        </is>
      </c>
      <c r="E10770" t="inlineStr">
        <is>
          <t>MARIESTAD</t>
        </is>
      </c>
      <c r="G10770" t="n">
        <v>11.2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63592-2021</t>
        </is>
      </c>
      <c r="B10771" s="1" t="n">
        <v>44508</v>
      </c>
      <c r="C10771" s="1" t="n">
        <v>46011</v>
      </c>
      <c r="D10771" t="inlineStr">
        <is>
          <t>VÄSTRA GÖTALANDS LÄN</t>
        </is>
      </c>
      <c r="E10771" t="inlineStr">
        <is>
          <t>HÄRRYDA</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49426-2024</t>
        </is>
      </c>
      <c r="B10772" s="1" t="n">
        <v>45595.79767361111</v>
      </c>
      <c r="C10772" s="1" t="n">
        <v>46011</v>
      </c>
      <c r="D10772" t="inlineStr">
        <is>
          <t>VÄSTRA GÖTALANDS LÄN</t>
        </is>
      </c>
      <c r="E10772" t="inlineStr">
        <is>
          <t>HERRLJUNGA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53125-2024</t>
        </is>
      </c>
      <c r="B10773" s="1" t="n">
        <v>45611.5891550926</v>
      </c>
      <c r="C10773" s="1" t="n">
        <v>46011</v>
      </c>
      <c r="D10773" t="inlineStr">
        <is>
          <t>VÄSTRA GÖTALANDS LÄN</t>
        </is>
      </c>
      <c r="E10773" t="inlineStr">
        <is>
          <t>BORÅS</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43943-2023</t>
        </is>
      </c>
      <c r="B10774" s="1" t="n">
        <v>45187</v>
      </c>
      <c r="C10774" s="1" t="n">
        <v>46011</v>
      </c>
      <c r="D10774" t="inlineStr">
        <is>
          <t>VÄSTRA GÖTALANDS LÄN</t>
        </is>
      </c>
      <c r="E10774" t="inlineStr">
        <is>
          <t>ULRICEHAMN</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40915-2024</t>
        </is>
      </c>
      <c r="B10775" s="1" t="n">
        <v>45558.63273148148</v>
      </c>
      <c r="C10775" s="1" t="n">
        <v>46011</v>
      </c>
      <c r="D10775" t="inlineStr">
        <is>
          <t>VÄSTRA GÖTALANDS LÄN</t>
        </is>
      </c>
      <c r="E10775" t="inlineStr">
        <is>
          <t>BENGTSFORS</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34708-2023</t>
        </is>
      </c>
      <c r="B10776" s="1" t="n">
        <v>45140.9924537037</v>
      </c>
      <c r="C10776" s="1" t="n">
        <v>46011</v>
      </c>
      <c r="D10776" t="inlineStr">
        <is>
          <t>VÄSTRA GÖTALANDS LÄN</t>
        </is>
      </c>
      <c r="E10776" t="inlineStr">
        <is>
          <t>VARA</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14568-2022</t>
        </is>
      </c>
      <c r="B10777" s="1" t="n">
        <v>44655</v>
      </c>
      <c r="C10777" s="1" t="n">
        <v>46011</v>
      </c>
      <c r="D10777" t="inlineStr">
        <is>
          <t>VÄSTRA GÖTALANDS LÄN</t>
        </is>
      </c>
      <c r="E10777" t="inlineStr">
        <is>
          <t>MELLERUD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12319-2025</t>
        </is>
      </c>
      <c r="B10778" s="1" t="n">
        <v>45729.97268518519</v>
      </c>
      <c r="C10778" s="1" t="n">
        <v>46011</v>
      </c>
      <c r="D10778" t="inlineStr">
        <is>
          <t>VÄSTRA GÖTALANDS LÄN</t>
        </is>
      </c>
      <c r="E10778" t="inlineStr">
        <is>
          <t>GÖTENE</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37058-2024</t>
        </is>
      </c>
      <c r="B10779" s="1" t="n">
        <v>45539.44940972222</v>
      </c>
      <c r="C10779" s="1" t="n">
        <v>46011</v>
      </c>
      <c r="D10779" t="inlineStr">
        <is>
          <t>VÄSTRA GÖTALANDS LÄN</t>
        </is>
      </c>
      <c r="E10779" t="inlineStr">
        <is>
          <t>FALKÖPING</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37130-2024</t>
        </is>
      </c>
      <c r="B10780" s="1" t="n">
        <v>45539.57060185185</v>
      </c>
      <c r="C10780" s="1" t="n">
        <v>46011</v>
      </c>
      <c r="D10780" t="inlineStr">
        <is>
          <t>VÄSTRA GÖTALANDS LÄN</t>
        </is>
      </c>
      <c r="E10780" t="inlineStr">
        <is>
          <t>ORUST</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46972-2024</t>
        </is>
      </c>
      <c r="B10781" s="1" t="n">
        <v>45583</v>
      </c>
      <c r="C10781" s="1" t="n">
        <v>46011</v>
      </c>
      <c r="D10781" t="inlineStr">
        <is>
          <t>VÄSTRA GÖTALANDS LÄN</t>
        </is>
      </c>
      <c r="E10781" t="inlineStr">
        <is>
          <t>BENGTSFORS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43770-2023</t>
        </is>
      </c>
      <c r="B10782" s="1" t="n">
        <v>45187.50803240741</v>
      </c>
      <c r="C10782" s="1" t="n">
        <v>46011</v>
      </c>
      <c r="D10782" t="inlineStr">
        <is>
          <t>VÄSTRA GÖTALANDS LÄN</t>
        </is>
      </c>
      <c r="E10782" t="inlineStr">
        <is>
          <t>LILLA EDET</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43841-2023</t>
        </is>
      </c>
      <c r="B10783" s="1" t="n">
        <v>45187.58931712963</v>
      </c>
      <c r="C10783" s="1" t="n">
        <v>46011</v>
      </c>
      <c r="D10783" t="inlineStr">
        <is>
          <t>VÄSTRA GÖTALANDS LÄN</t>
        </is>
      </c>
      <c r="E10783" t="inlineStr">
        <is>
          <t>TRANEMO</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19982-2025</t>
        </is>
      </c>
      <c r="B10784" s="1" t="n">
        <v>45771.71873842592</v>
      </c>
      <c r="C10784" s="1" t="n">
        <v>46011</v>
      </c>
      <c r="D10784" t="inlineStr">
        <is>
          <t>VÄSTRA GÖTALANDS LÄN</t>
        </is>
      </c>
      <c r="E10784" t="inlineStr">
        <is>
          <t>UDDEVALLA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19996-2025</t>
        </is>
      </c>
      <c r="B10785" s="1" t="n">
        <v>45771.77300925926</v>
      </c>
      <c r="C10785" s="1" t="n">
        <v>46011</v>
      </c>
      <c r="D10785" t="inlineStr">
        <is>
          <t>VÄSTRA GÖTALANDS LÄN</t>
        </is>
      </c>
      <c r="E10785" t="inlineStr">
        <is>
          <t>MARK</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19998-2025</t>
        </is>
      </c>
      <c r="B10786" s="1" t="n">
        <v>45771.83752314815</v>
      </c>
      <c r="C10786" s="1" t="n">
        <v>46011</v>
      </c>
      <c r="D10786" t="inlineStr">
        <is>
          <t>VÄSTRA GÖTALANDS LÄN</t>
        </is>
      </c>
      <c r="E10786" t="inlineStr">
        <is>
          <t>TRANEMO</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10426-2023</t>
        </is>
      </c>
      <c r="B10787" s="1" t="n">
        <v>44981</v>
      </c>
      <c r="C10787" s="1" t="n">
        <v>46011</v>
      </c>
      <c r="D10787" t="inlineStr">
        <is>
          <t>VÄSTRA GÖTALANDS LÄN</t>
        </is>
      </c>
      <c r="E10787" t="inlineStr">
        <is>
          <t>UDDEVALLA</t>
        </is>
      </c>
      <c r="F10787" t="inlineStr">
        <is>
          <t>Kyrkan</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60429-2024</t>
        </is>
      </c>
      <c r="B10788" s="1" t="n">
        <v>45643</v>
      </c>
      <c r="C10788" s="1" t="n">
        <v>46011</v>
      </c>
      <c r="D10788" t="inlineStr">
        <is>
          <t>VÄSTRA GÖTALANDS LÄN</t>
        </is>
      </c>
      <c r="E10788" t="inlineStr">
        <is>
          <t>BENGTSFORS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43113-2024</t>
        </is>
      </c>
      <c r="B10789" s="1" t="n">
        <v>45567</v>
      </c>
      <c r="C10789" s="1" t="n">
        <v>46011</v>
      </c>
      <c r="D10789" t="inlineStr">
        <is>
          <t>VÄSTRA GÖTALANDS LÄN</t>
        </is>
      </c>
      <c r="E10789" t="inlineStr">
        <is>
          <t>ÅMÅL</t>
        </is>
      </c>
      <c r="G10789" t="n">
        <v>8.699999999999999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43841-2024</t>
        </is>
      </c>
      <c r="B10790" s="1" t="n">
        <v>45572.34341435185</v>
      </c>
      <c r="C10790" s="1" t="n">
        <v>46011</v>
      </c>
      <c r="D10790" t="inlineStr">
        <is>
          <t>VÄSTRA GÖTALANDS LÄN</t>
        </is>
      </c>
      <c r="E10790" t="inlineStr">
        <is>
          <t>DALS-ED</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9762-2025</t>
        </is>
      </c>
      <c r="B10791" s="1" t="n">
        <v>45716.47924768519</v>
      </c>
      <c r="C10791" s="1" t="n">
        <v>46011</v>
      </c>
      <c r="D10791" t="inlineStr">
        <is>
          <t>VÄSTRA GÖTALANDS LÄN</t>
        </is>
      </c>
      <c r="E10791" t="inlineStr">
        <is>
          <t>GÖTENE</t>
        </is>
      </c>
      <c r="F10791" t="inlineStr">
        <is>
          <t>Sveaskog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9764-2025</t>
        </is>
      </c>
      <c r="B10792" s="1" t="n">
        <v>45716.47998842593</v>
      </c>
      <c r="C10792" s="1" t="n">
        <v>46011</v>
      </c>
      <c r="D10792" t="inlineStr">
        <is>
          <t>VÄSTRA GÖTALANDS LÄN</t>
        </is>
      </c>
      <c r="E10792" t="inlineStr">
        <is>
          <t>TANUM</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55088-2024</t>
        </is>
      </c>
      <c r="B10793" s="1" t="n">
        <v>45621.43332175926</v>
      </c>
      <c r="C10793" s="1" t="n">
        <v>46011</v>
      </c>
      <c r="D10793" t="inlineStr">
        <is>
          <t>VÄSTRA GÖTALANDS LÄN</t>
        </is>
      </c>
      <c r="E10793" t="inlineStr">
        <is>
          <t>DALS-ED</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45602-2024</t>
        </is>
      </c>
      <c r="B10794" s="1" t="n">
        <v>45579.43690972222</v>
      </c>
      <c r="C10794" s="1" t="n">
        <v>46011</v>
      </c>
      <c r="D10794" t="inlineStr">
        <is>
          <t>VÄSTRA GÖTALANDS LÄN</t>
        </is>
      </c>
      <c r="E10794" t="inlineStr">
        <is>
          <t>BENGTSFORS</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18569-2023</t>
        </is>
      </c>
      <c r="B10795" s="1" t="n">
        <v>45043.33277777778</v>
      </c>
      <c r="C10795" s="1" t="n">
        <v>46011</v>
      </c>
      <c r="D10795" t="inlineStr">
        <is>
          <t>VÄSTRA GÖTALANDS LÄN</t>
        </is>
      </c>
      <c r="E10795" t="inlineStr">
        <is>
          <t>ULRICEHAMN</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63618-2023</t>
        </is>
      </c>
      <c r="B10796" s="1" t="n">
        <v>45275</v>
      </c>
      <c r="C10796" s="1" t="n">
        <v>46011</v>
      </c>
      <c r="D10796" t="inlineStr">
        <is>
          <t>VÄSTRA GÖTALANDS LÄN</t>
        </is>
      </c>
      <c r="E10796" t="inlineStr">
        <is>
          <t>BORÅS</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47087-2023</t>
        </is>
      </c>
      <c r="B10797" s="1" t="n">
        <v>45196</v>
      </c>
      <c r="C10797" s="1" t="n">
        <v>46011</v>
      </c>
      <c r="D10797" t="inlineStr">
        <is>
          <t>VÄSTRA GÖTALANDS LÄN</t>
        </is>
      </c>
      <c r="E10797" t="inlineStr">
        <is>
          <t>ALE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40666-2023</t>
        </is>
      </c>
      <c r="B10798" s="1" t="n">
        <v>45170</v>
      </c>
      <c r="C10798" s="1" t="n">
        <v>46011</v>
      </c>
      <c r="D10798" t="inlineStr">
        <is>
          <t>VÄSTRA GÖTALANDS LÄN</t>
        </is>
      </c>
      <c r="E10798" t="inlineStr">
        <is>
          <t>SKARA</t>
        </is>
      </c>
      <c r="F10798" t="inlineStr">
        <is>
          <t>Kyrkan</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10894-2024</t>
        </is>
      </c>
      <c r="B10799" s="1" t="n">
        <v>45370.34858796297</v>
      </c>
      <c r="C10799" s="1" t="n">
        <v>46011</v>
      </c>
      <c r="D10799" t="inlineStr">
        <is>
          <t>VÄSTRA GÖTALANDS LÄN</t>
        </is>
      </c>
      <c r="E10799" t="inlineStr">
        <is>
          <t>SVENLJUNGA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4284-2024</t>
        </is>
      </c>
      <c r="B10800" s="1" t="n">
        <v>45324.58987268519</v>
      </c>
      <c r="C10800" s="1" t="n">
        <v>46011</v>
      </c>
      <c r="D10800" t="inlineStr">
        <is>
          <t>VÄSTRA GÖTALANDS LÄN</t>
        </is>
      </c>
      <c r="E10800" t="inlineStr">
        <is>
          <t>ULRICEHAMN</t>
        </is>
      </c>
      <c r="F10800" t="inlineStr">
        <is>
          <t>Kyrkan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19980-2025</t>
        </is>
      </c>
      <c r="B10801" s="1" t="n">
        <v>45771.71185185185</v>
      </c>
      <c r="C10801" s="1" t="n">
        <v>46011</v>
      </c>
      <c r="D10801" t="inlineStr">
        <is>
          <t>VÄSTRA GÖTALANDS LÄN</t>
        </is>
      </c>
      <c r="E10801" t="inlineStr">
        <is>
          <t>UDDEVALLA</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11239-2023</t>
        </is>
      </c>
      <c r="B10802" s="1" t="n">
        <v>44992</v>
      </c>
      <c r="C10802" s="1" t="n">
        <v>46011</v>
      </c>
      <c r="D10802" t="inlineStr">
        <is>
          <t>VÄSTRA GÖTALANDS LÄN</t>
        </is>
      </c>
      <c r="E10802" t="inlineStr">
        <is>
          <t>BOLLEBYGD</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4642-2024</t>
        </is>
      </c>
      <c r="B10803" s="1" t="n">
        <v>45328.43502314815</v>
      </c>
      <c r="C10803" s="1" t="n">
        <v>46011</v>
      </c>
      <c r="D10803" t="inlineStr">
        <is>
          <t>VÄSTRA GÖTALANDS LÄN</t>
        </is>
      </c>
      <c r="E10803" t="inlineStr">
        <is>
          <t>ALE</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4881-2024</t>
        </is>
      </c>
      <c r="B10804" s="1" t="n">
        <v>45329.44875</v>
      </c>
      <c r="C10804" s="1" t="n">
        <v>46011</v>
      </c>
      <c r="D10804" t="inlineStr">
        <is>
          <t>VÄSTRA GÖTALANDS LÄN</t>
        </is>
      </c>
      <c r="E10804" t="inlineStr">
        <is>
          <t>LILLA EDET</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56614-2022</t>
        </is>
      </c>
      <c r="B10805" s="1" t="n">
        <v>44893.58832175926</v>
      </c>
      <c r="C10805" s="1" t="n">
        <v>46011</v>
      </c>
      <c r="D10805" t="inlineStr">
        <is>
          <t>VÄSTRA GÖTALANDS LÄN</t>
        </is>
      </c>
      <c r="E10805" t="inlineStr">
        <is>
          <t>FÄRGELANDA</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15927-2023</t>
        </is>
      </c>
      <c r="B10806" s="1" t="n">
        <v>45022.54587962963</v>
      </c>
      <c r="C10806" s="1" t="n">
        <v>46011</v>
      </c>
      <c r="D10806" t="inlineStr">
        <is>
          <t>VÄSTRA GÖTALANDS LÄN</t>
        </is>
      </c>
      <c r="E10806" t="inlineStr">
        <is>
          <t>SKARA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15928-2023</t>
        </is>
      </c>
      <c r="B10807" s="1" t="n">
        <v>45022</v>
      </c>
      <c r="C10807" s="1" t="n">
        <v>46011</v>
      </c>
      <c r="D10807" t="inlineStr">
        <is>
          <t>VÄSTRA GÖTALANDS LÄN</t>
        </is>
      </c>
      <c r="E10807" t="inlineStr">
        <is>
          <t>FALKÖPING</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50601-2024</t>
        </is>
      </c>
      <c r="B10808" s="1" t="n">
        <v>45600</v>
      </c>
      <c r="C10808" s="1" t="n">
        <v>46011</v>
      </c>
      <c r="D10808" t="inlineStr">
        <is>
          <t>VÄSTRA GÖTALANDS LÄN</t>
        </is>
      </c>
      <c r="E10808" t="inlineStr">
        <is>
          <t>STRÖMSTAD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8918-2023</t>
        </is>
      </c>
      <c r="B10809" s="1" t="n">
        <v>44973</v>
      </c>
      <c r="C10809" s="1" t="n">
        <v>46011</v>
      </c>
      <c r="D10809" t="inlineStr">
        <is>
          <t>VÄSTRA GÖTALANDS LÄN</t>
        </is>
      </c>
      <c r="E10809" t="inlineStr">
        <is>
          <t>MARK</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46738-2024</t>
        </is>
      </c>
      <c r="B10810" s="1" t="n">
        <v>45583.47204861111</v>
      </c>
      <c r="C10810" s="1" t="n">
        <v>46011</v>
      </c>
      <c r="D10810" t="inlineStr">
        <is>
          <t>VÄSTRA GÖTALANDS LÄN</t>
        </is>
      </c>
      <c r="E10810" t="inlineStr">
        <is>
          <t>HERRLJUNGA</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23046-2024</t>
        </is>
      </c>
      <c r="B10811" s="1" t="n">
        <v>45450.4240625</v>
      </c>
      <c r="C10811" s="1" t="n">
        <v>46011</v>
      </c>
      <c r="D10811" t="inlineStr">
        <is>
          <t>VÄSTRA GÖTALANDS LÄN</t>
        </is>
      </c>
      <c r="E10811" t="inlineStr">
        <is>
          <t>ORUST</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25153-2024</t>
        </is>
      </c>
      <c r="B10812" s="1" t="n">
        <v>45462</v>
      </c>
      <c r="C10812" s="1" t="n">
        <v>46011</v>
      </c>
      <c r="D10812" t="inlineStr">
        <is>
          <t>VÄSTRA GÖTALANDS LÄN</t>
        </is>
      </c>
      <c r="E10812" t="inlineStr">
        <is>
          <t>SKARA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25826-2024</t>
        </is>
      </c>
      <c r="B10813" s="1" t="n">
        <v>45467.40405092593</v>
      </c>
      <c r="C10813" s="1" t="n">
        <v>46011</v>
      </c>
      <c r="D10813" t="inlineStr">
        <is>
          <t>VÄSTRA GÖTALANDS LÄN</t>
        </is>
      </c>
      <c r="E10813" t="inlineStr">
        <is>
          <t>FÄRGELANDA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46561-2024</t>
        </is>
      </c>
      <c r="B10814" s="1" t="n">
        <v>45582.67883101852</v>
      </c>
      <c r="C10814" s="1" t="n">
        <v>46011</v>
      </c>
      <c r="D10814" t="inlineStr">
        <is>
          <t>VÄSTRA GÖTALANDS LÄN</t>
        </is>
      </c>
      <c r="E10814" t="inlineStr">
        <is>
          <t>LILLA EDET</t>
        </is>
      </c>
      <c r="G10814" t="n">
        <v>12.2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47067-2024</t>
        </is>
      </c>
      <c r="B10815" s="1" t="n">
        <v>45586.47738425926</v>
      </c>
      <c r="C10815" s="1" t="n">
        <v>46011</v>
      </c>
      <c r="D10815" t="inlineStr">
        <is>
          <t>VÄSTRA GÖTALANDS LÄN</t>
        </is>
      </c>
      <c r="E10815" t="inlineStr">
        <is>
          <t>FALKÖPING</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71985-2021</t>
        </is>
      </c>
      <c r="B10816" s="1" t="n">
        <v>44544.37164351852</v>
      </c>
      <c r="C10816" s="1" t="n">
        <v>46011</v>
      </c>
      <c r="D10816" t="inlineStr">
        <is>
          <t>VÄSTRA GÖTALANDS LÄN</t>
        </is>
      </c>
      <c r="E10816" t="inlineStr">
        <is>
          <t>TRANEMO</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13945-2024</t>
        </is>
      </c>
      <c r="B10817" s="1" t="n">
        <v>45392.30935185185</v>
      </c>
      <c r="C10817" s="1" t="n">
        <v>46011</v>
      </c>
      <c r="D10817" t="inlineStr">
        <is>
          <t>VÄSTRA GÖTALANDS LÄN</t>
        </is>
      </c>
      <c r="E10817" t="inlineStr">
        <is>
          <t>TRANEMO</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13949-2024</t>
        </is>
      </c>
      <c r="B10818" s="1" t="n">
        <v>45392.31827546296</v>
      </c>
      <c r="C10818" s="1" t="n">
        <v>46011</v>
      </c>
      <c r="D10818" t="inlineStr">
        <is>
          <t>VÄSTRA GÖTALANDS LÄN</t>
        </is>
      </c>
      <c r="E10818" t="inlineStr">
        <is>
          <t>TRANEMO</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13956-2024</t>
        </is>
      </c>
      <c r="B10819" s="1" t="n">
        <v>45392.32475694444</v>
      </c>
      <c r="C10819" s="1" t="n">
        <v>46011</v>
      </c>
      <c r="D10819" t="inlineStr">
        <is>
          <t>VÄSTRA GÖTALANDS LÄN</t>
        </is>
      </c>
      <c r="E10819" t="inlineStr">
        <is>
          <t>BORÅS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4550-2024</t>
        </is>
      </c>
      <c r="B10820" s="1" t="n">
        <v>45327.71622685185</v>
      </c>
      <c r="C10820" s="1" t="n">
        <v>46011</v>
      </c>
      <c r="D10820" t="inlineStr">
        <is>
          <t>VÄSTRA GÖTALANDS LÄN</t>
        </is>
      </c>
      <c r="E10820" t="inlineStr">
        <is>
          <t>VÅRGÅRDA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5669-2024</t>
        </is>
      </c>
      <c r="B10821" s="1" t="n">
        <v>45334.66134259259</v>
      </c>
      <c r="C10821" s="1" t="n">
        <v>46011</v>
      </c>
      <c r="D10821" t="inlineStr">
        <is>
          <t>VÄSTRA GÖTALANDS LÄN</t>
        </is>
      </c>
      <c r="E10821" t="inlineStr">
        <is>
          <t>TRANEMO</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17129-2023</t>
        </is>
      </c>
      <c r="B10822" s="1" t="n">
        <v>45034</v>
      </c>
      <c r="C10822" s="1" t="n">
        <v>46011</v>
      </c>
      <c r="D10822" t="inlineStr">
        <is>
          <t>VÄSTRA GÖTALANDS LÄN</t>
        </is>
      </c>
      <c r="E10822" t="inlineStr">
        <is>
          <t>FÄRGELANDA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67875-2021</t>
        </is>
      </c>
      <c r="B10823" s="1" t="n">
        <v>44525</v>
      </c>
      <c r="C10823" s="1" t="n">
        <v>46011</v>
      </c>
      <c r="D10823" t="inlineStr">
        <is>
          <t>VÄSTRA GÖTALANDS LÄN</t>
        </is>
      </c>
      <c r="E10823" t="inlineStr">
        <is>
          <t>STRÖMSTAD</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26790-2024</t>
        </is>
      </c>
      <c r="B10824" s="1" t="n">
        <v>45470.49233796296</v>
      </c>
      <c r="C10824" s="1" t="n">
        <v>46011</v>
      </c>
      <c r="D10824" t="inlineStr">
        <is>
          <t>VÄSTRA GÖTALANDS LÄN</t>
        </is>
      </c>
      <c r="E10824" t="inlineStr">
        <is>
          <t>MARIESTAD</t>
        </is>
      </c>
      <c r="F10824" t="inlineStr">
        <is>
          <t>Kyrkan</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66945-2021</t>
        </is>
      </c>
      <c r="B10825" s="1" t="n">
        <v>44522</v>
      </c>
      <c r="C10825" s="1" t="n">
        <v>46011</v>
      </c>
      <c r="D10825" t="inlineStr">
        <is>
          <t>VÄSTRA GÖTALANDS LÄN</t>
        </is>
      </c>
      <c r="E10825" t="inlineStr">
        <is>
          <t>TANUM</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25441-2024</t>
        </is>
      </c>
      <c r="B10826" s="1" t="n">
        <v>45463</v>
      </c>
      <c r="C10826" s="1" t="n">
        <v>46011</v>
      </c>
      <c r="D10826" t="inlineStr">
        <is>
          <t>VÄSTRA GÖTALANDS LÄN</t>
        </is>
      </c>
      <c r="E10826" t="inlineStr">
        <is>
          <t>TANUM</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16363-2024</t>
        </is>
      </c>
      <c r="B10827" s="1" t="n">
        <v>45407.59325231481</v>
      </c>
      <c r="C10827" s="1" t="n">
        <v>46011</v>
      </c>
      <c r="D10827" t="inlineStr">
        <is>
          <t>VÄSTRA GÖTALANDS LÄN</t>
        </is>
      </c>
      <c r="E10827" t="inlineStr">
        <is>
          <t>STRÖMSTAD</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8584-2022</t>
        </is>
      </c>
      <c r="B10828" s="1" t="n">
        <v>44613</v>
      </c>
      <c r="C10828" s="1" t="n">
        <v>46011</v>
      </c>
      <c r="D10828" t="inlineStr">
        <is>
          <t>VÄSTRA GÖTALANDS LÄN</t>
        </is>
      </c>
      <c r="E10828" t="inlineStr">
        <is>
          <t>TANUM</t>
        </is>
      </c>
      <c r="G10828" t="n">
        <v>10.6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8586-2022</t>
        </is>
      </c>
      <c r="B10829" s="1" t="n">
        <v>44613</v>
      </c>
      <c r="C10829" s="1" t="n">
        <v>46011</v>
      </c>
      <c r="D10829" t="inlineStr">
        <is>
          <t>VÄSTRA GÖTALANDS LÄN</t>
        </is>
      </c>
      <c r="E10829" t="inlineStr">
        <is>
          <t>TANUM</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54119-2024</t>
        </is>
      </c>
      <c r="B10830" s="1" t="n">
        <v>45616.57194444445</v>
      </c>
      <c r="C10830" s="1" t="n">
        <v>46011</v>
      </c>
      <c r="D10830" t="inlineStr">
        <is>
          <t>VÄSTRA GÖTALANDS LÄN</t>
        </is>
      </c>
      <c r="E10830" t="inlineStr">
        <is>
          <t>MARK</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35429-2023</t>
        </is>
      </c>
      <c r="B10831" s="1" t="n">
        <v>45146.62659722222</v>
      </c>
      <c r="C10831" s="1" t="n">
        <v>46011</v>
      </c>
      <c r="D10831" t="inlineStr">
        <is>
          <t>VÄSTRA GÖTALANDS LÄN</t>
        </is>
      </c>
      <c r="E10831" t="inlineStr">
        <is>
          <t>GULLSPÅNG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54176-2024</t>
        </is>
      </c>
      <c r="B10832" s="1" t="n">
        <v>45616.63513888889</v>
      </c>
      <c r="C10832" s="1" t="n">
        <v>46011</v>
      </c>
      <c r="D10832" t="inlineStr">
        <is>
          <t>VÄSTRA GÖTALANDS LÄN</t>
        </is>
      </c>
      <c r="E10832" t="inlineStr">
        <is>
          <t>ÅMÅL</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26480-2024</t>
        </is>
      </c>
      <c r="B10833" s="1" t="n">
        <v>45469.55256944444</v>
      </c>
      <c r="C10833" s="1" t="n">
        <v>46011</v>
      </c>
      <c r="D10833" t="inlineStr">
        <is>
          <t>VÄSTRA GÖTALANDS LÄN</t>
        </is>
      </c>
      <c r="E10833" t="inlineStr">
        <is>
          <t>SKARA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44668-2023</t>
        </is>
      </c>
      <c r="B10834" s="1" t="n">
        <v>45189.72548611111</v>
      </c>
      <c r="C10834" s="1" t="n">
        <v>46011</v>
      </c>
      <c r="D10834" t="inlineStr">
        <is>
          <t>VÄSTRA GÖTALANDS LÄN</t>
        </is>
      </c>
      <c r="E10834" t="inlineStr">
        <is>
          <t>VÅRGÅRDA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44683-2023</t>
        </is>
      </c>
      <c r="B10835" s="1" t="n">
        <v>45189.9100925926</v>
      </c>
      <c r="C10835" s="1" t="n">
        <v>46011</v>
      </c>
      <c r="D10835" t="inlineStr">
        <is>
          <t>VÄSTRA GÖTALANDS LÄN</t>
        </is>
      </c>
      <c r="E10835" t="inlineStr">
        <is>
          <t>HERRLJUNGA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46543-2024</t>
        </is>
      </c>
      <c r="B10836" s="1" t="n">
        <v>45582.65775462963</v>
      </c>
      <c r="C10836" s="1" t="n">
        <v>46011</v>
      </c>
      <c r="D10836" t="inlineStr">
        <is>
          <t>VÄSTRA GÖTALANDS LÄN</t>
        </is>
      </c>
      <c r="E10836" t="inlineStr">
        <is>
          <t>HERRLJUNGA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26482-2024</t>
        </is>
      </c>
      <c r="B10837" s="1" t="n">
        <v>45469</v>
      </c>
      <c r="C10837" s="1" t="n">
        <v>46011</v>
      </c>
      <c r="D10837" t="inlineStr">
        <is>
          <t>VÄSTRA GÖTALANDS LÄN</t>
        </is>
      </c>
      <c r="E10837" t="inlineStr">
        <is>
          <t>SKARA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38587-2023</t>
        </is>
      </c>
      <c r="B10838" s="1" t="n">
        <v>45162.63479166666</v>
      </c>
      <c r="C10838" s="1" t="n">
        <v>46011</v>
      </c>
      <c r="D10838" t="inlineStr">
        <is>
          <t>VÄSTRA GÖTALANDS LÄN</t>
        </is>
      </c>
      <c r="E10838" t="inlineStr">
        <is>
          <t>ULRICEHAMN</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26534-2024</t>
        </is>
      </c>
      <c r="B10839" s="1" t="n">
        <v>45469.61435185185</v>
      </c>
      <c r="C10839" s="1" t="n">
        <v>46011</v>
      </c>
      <c r="D10839" t="inlineStr">
        <is>
          <t>VÄSTRA GÖTALANDS LÄN</t>
        </is>
      </c>
      <c r="E10839" t="inlineStr">
        <is>
          <t>TIDAHOLM</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26548-2024</t>
        </is>
      </c>
      <c r="B10840" s="1" t="n">
        <v>45469.61974537037</v>
      </c>
      <c r="C10840" s="1" t="n">
        <v>46011</v>
      </c>
      <c r="D10840" t="inlineStr">
        <is>
          <t>VÄSTRA GÖTALANDS LÄN</t>
        </is>
      </c>
      <c r="E10840" t="inlineStr">
        <is>
          <t>TIDAHOLM</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33162-2024</t>
        </is>
      </c>
      <c r="B10841" s="1" t="n">
        <v>45518</v>
      </c>
      <c r="C10841" s="1" t="n">
        <v>46011</v>
      </c>
      <c r="D10841" t="inlineStr">
        <is>
          <t>VÄSTRA GÖTALANDS LÄN</t>
        </is>
      </c>
      <c r="E10841" t="inlineStr">
        <is>
          <t>GÖTENE</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12747-2024</t>
        </is>
      </c>
      <c r="B10842" s="1" t="n">
        <v>45384.54314814815</v>
      </c>
      <c r="C10842" s="1" t="n">
        <v>46011</v>
      </c>
      <c r="D10842" t="inlineStr">
        <is>
          <t>VÄSTRA GÖTALANDS LÄN</t>
        </is>
      </c>
      <c r="E10842" t="inlineStr">
        <is>
          <t>SKARA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46936-2024</t>
        </is>
      </c>
      <c r="B10843" s="1" t="n">
        <v>45585.57081018519</v>
      </c>
      <c r="C10843" s="1" t="n">
        <v>46011</v>
      </c>
      <c r="D10843" t="inlineStr">
        <is>
          <t>VÄSTRA GÖTALANDS LÄN</t>
        </is>
      </c>
      <c r="E10843" t="inlineStr">
        <is>
          <t>SVENLJUNGA</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41031-2023</t>
        </is>
      </c>
      <c r="B10844" s="1" t="n">
        <v>45170</v>
      </c>
      <c r="C10844" s="1" t="n">
        <v>46011</v>
      </c>
      <c r="D10844" t="inlineStr">
        <is>
          <t>VÄSTRA GÖTALANDS LÄN</t>
        </is>
      </c>
      <c r="E10844" t="inlineStr">
        <is>
          <t>TANUM</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7455-2022</t>
        </is>
      </c>
      <c r="B10845" s="1" t="n">
        <v>44607.34837962963</v>
      </c>
      <c r="C10845" s="1" t="n">
        <v>46011</v>
      </c>
      <c r="D10845" t="inlineStr">
        <is>
          <t>VÄSTRA GÖTALANDS LÄN</t>
        </is>
      </c>
      <c r="E10845" t="inlineStr">
        <is>
          <t>MARK</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35969-2024</t>
        </is>
      </c>
      <c r="B10846" s="1" t="n">
        <v>45533</v>
      </c>
      <c r="C10846" s="1" t="n">
        <v>46011</v>
      </c>
      <c r="D10846" t="inlineStr">
        <is>
          <t>VÄSTRA GÖTALANDS LÄN</t>
        </is>
      </c>
      <c r="E10846" t="inlineStr">
        <is>
          <t>TROLLHÄTTAN</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14296-2023</t>
        </is>
      </c>
      <c r="B10847" s="1" t="n">
        <v>45011</v>
      </c>
      <c r="C10847" s="1" t="n">
        <v>46011</v>
      </c>
      <c r="D10847" t="inlineStr">
        <is>
          <t>VÄSTRA GÖTALANDS LÄN</t>
        </is>
      </c>
      <c r="E10847" t="inlineStr">
        <is>
          <t>GÖTENE</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42117-2024</t>
        </is>
      </c>
      <c r="B10848" s="1" t="n">
        <v>45562.38952546296</v>
      </c>
      <c r="C10848" s="1" t="n">
        <v>46011</v>
      </c>
      <c r="D10848" t="inlineStr">
        <is>
          <t>VÄSTRA GÖTALANDS LÄN</t>
        </is>
      </c>
      <c r="E10848" t="inlineStr">
        <is>
          <t>BORÅS</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23598-2024</t>
        </is>
      </c>
      <c r="B10849" s="1" t="n">
        <v>45454</v>
      </c>
      <c r="C10849" s="1" t="n">
        <v>46011</v>
      </c>
      <c r="D10849" t="inlineStr">
        <is>
          <t>VÄSTRA GÖTALANDS LÄN</t>
        </is>
      </c>
      <c r="E10849" t="inlineStr">
        <is>
          <t>MARK</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8240-2022</t>
        </is>
      </c>
      <c r="B10850" s="1" t="n">
        <v>44609</v>
      </c>
      <c r="C10850" s="1" t="n">
        <v>46011</v>
      </c>
      <c r="D10850" t="inlineStr">
        <is>
          <t>VÄSTRA GÖTALANDS LÄN</t>
        </is>
      </c>
      <c r="E10850" t="inlineStr">
        <is>
          <t>BORÅS</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24355-2024</t>
        </is>
      </c>
      <c r="B10851" s="1" t="n">
        <v>45457.59540509259</v>
      </c>
      <c r="C10851" s="1" t="n">
        <v>46011</v>
      </c>
      <c r="D10851" t="inlineStr">
        <is>
          <t>VÄSTRA GÖTALANDS LÄN</t>
        </is>
      </c>
      <c r="E10851" t="inlineStr">
        <is>
          <t>TÖREBODA</t>
        </is>
      </c>
      <c r="F10851" t="inlineStr">
        <is>
          <t>Övriga statliga verk och myndigheter</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35186-2024</t>
        </is>
      </c>
      <c r="B10852" s="1" t="n">
        <v>45530.45280092592</v>
      </c>
      <c r="C10852" s="1" t="n">
        <v>46011</v>
      </c>
      <c r="D10852" t="inlineStr">
        <is>
          <t>VÄSTRA GÖTALANDS LÄN</t>
        </is>
      </c>
      <c r="E10852" t="inlineStr">
        <is>
          <t>GULLSPÅNG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1514-2025</t>
        </is>
      </c>
      <c r="B10853" s="1" t="n">
        <v>45670.45423611111</v>
      </c>
      <c r="C10853" s="1" t="n">
        <v>46011</v>
      </c>
      <c r="D10853" t="inlineStr">
        <is>
          <t>VÄSTRA GÖTALANDS LÄN</t>
        </is>
      </c>
      <c r="E10853" t="inlineStr">
        <is>
          <t>BORÅS</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42330-2023</t>
        </is>
      </c>
      <c r="B10854" s="1" t="n">
        <v>45180</v>
      </c>
      <c r="C10854" s="1" t="n">
        <v>46011</v>
      </c>
      <c r="D10854" t="inlineStr">
        <is>
          <t>VÄSTRA GÖTALANDS LÄN</t>
        </is>
      </c>
      <c r="E10854" t="inlineStr">
        <is>
          <t>VÅRGÅRDA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37537-2024</t>
        </is>
      </c>
      <c r="B10855" s="1" t="n">
        <v>45541.41628472223</v>
      </c>
      <c r="C10855" s="1" t="n">
        <v>46011</v>
      </c>
      <c r="D10855" t="inlineStr">
        <is>
          <t>VÄSTRA GÖTALANDS LÄN</t>
        </is>
      </c>
      <c r="E10855" t="inlineStr">
        <is>
          <t>ALINGSÅS</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42427-2023</t>
        </is>
      </c>
      <c r="B10856" s="1" t="n">
        <v>45180</v>
      </c>
      <c r="C10856" s="1" t="n">
        <v>46011</v>
      </c>
      <c r="D10856" t="inlineStr">
        <is>
          <t>VÄSTRA GÖTALANDS LÄN</t>
        </is>
      </c>
      <c r="E10856" t="inlineStr">
        <is>
          <t>VARA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47444-2024</t>
        </is>
      </c>
      <c r="B10857" s="1" t="n">
        <v>45587.53412037037</v>
      </c>
      <c r="C10857" s="1" t="n">
        <v>46011</v>
      </c>
      <c r="D10857" t="inlineStr">
        <is>
          <t>VÄSTRA GÖTALANDS LÄN</t>
        </is>
      </c>
      <c r="E10857" t="inlineStr">
        <is>
          <t>DALS-ED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40629-2024</t>
        </is>
      </c>
      <c r="B10858" s="1" t="n">
        <v>45557.69868055556</v>
      </c>
      <c r="C10858" s="1" t="n">
        <v>46011</v>
      </c>
      <c r="D10858" t="inlineStr">
        <is>
          <t>VÄSTRA GÖTALANDS LÄN</t>
        </is>
      </c>
      <c r="E10858" t="inlineStr">
        <is>
          <t>HJO</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57128-2024</t>
        </is>
      </c>
      <c r="B10859" s="1" t="n">
        <v>45629.37820601852</v>
      </c>
      <c r="C10859" s="1" t="n">
        <v>46011</v>
      </c>
      <c r="D10859" t="inlineStr">
        <is>
          <t>VÄSTRA GÖTALANDS LÄN</t>
        </is>
      </c>
      <c r="E10859" t="inlineStr">
        <is>
          <t>MARK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37519-2024</t>
        </is>
      </c>
      <c r="B10860" s="1" t="n">
        <v>45541.39113425926</v>
      </c>
      <c r="C10860" s="1" t="n">
        <v>46011</v>
      </c>
      <c r="D10860" t="inlineStr">
        <is>
          <t>VÄSTRA GÖTALANDS LÄN</t>
        </is>
      </c>
      <c r="E10860" t="inlineStr">
        <is>
          <t>KARLSBORG</t>
        </is>
      </c>
      <c r="F10860" t="inlineStr">
        <is>
          <t>Sveaskog</t>
        </is>
      </c>
      <c r="G10860" t="n">
        <v>9.800000000000001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47810-2024</t>
        </is>
      </c>
      <c r="B10861" s="1" t="n">
        <v>45588.61688657408</v>
      </c>
      <c r="C10861" s="1" t="n">
        <v>46011</v>
      </c>
      <c r="D10861" t="inlineStr">
        <is>
          <t>VÄSTRA GÖTALANDS LÄN</t>
        </is>
      </c>
      <c r="E10861" t="inlineStr">
        <is>
          <t>SVENLJUNGA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45268-2023</t>
        </is>
      </c>
      <c r="B10862" s="1" t="n">
        <v>45191</v>
      </c>
      <c r="C10862" s="1" t="n">
        <v>46011</v>
      </c>
      <c r="D10862" t="inlineStr">
        <is>
          <t>VÄSTRA GÖTALANDS LÄN</t>
        </is>
      </c>
      <c r="E10862" t="inlineStr">
        <is>
          <t>MARK</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45270-2023</t>
        </is>
      </c>
      <c r="B10863" s="1" t="n">
        <v>45191</v>
      </c>
      <c r="C10863" s="1" t="n">
        <v>46011</v>
      </c>
      <c r="D10863" t="inlineStr">
        <is>
          <t>VÄSTRA GÖTALANDS LÄN</t>
        </is>
      </c>
      <c r="E10863" t="inlineStr">
        <is>
          <t>SVENLJUNGA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45271-2023</t>
        </is>
      </c>
      <c r="B10864" s="1" t="n">
        <v>45191</v>
      </c>
      <c r="C10864" s="1" t="n">
        <v>46011</v>
      </c>
      <c r="D10864" t="inlineStr">
        <is>
          <t>VÄSTRA GÖTALANDS LÄN</t>
        </is>
      </c>
      <c r="E10864" t="inlineStr">
        <is>
          <t>SVENLJUNGA</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45952-2024</t>
        </is>
      </c>
      <c r="B10865" s="1" t="n">
        <v>45580.56090277778</v>
      </c>
      <c r="C10865" s="1" t="n">
        <v>46011</v>
      </c>
      <c r="D10865" t="inlineStr">
        <is>
          <t>VÄSTRA GÖTALANDS LÄN</t>
        </is>
      </c>
      <c r="E10865" t="inlineStr">
        <is>
          <t>TANUM</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11397-2022</t>
        </is>
      </c>
      <c r="B10866" s="1" t="n">
        <v>44630.53233796296</v>
      </c>
      <c r="C10866" s="1" t="n">
        <v>46011</v>
      </c>
      <c r="D10866" t="inlineStr">
        <is>
          <t>VÄSTRA GÖTALANDS LÄN</t>
        </is>
      </c>
      <c r="E10866" t="inlineStr">
        <is>
          <t>MARIESTAD</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15535-2024</t>
        </is>
      </c>
      <c r="B10867" s="1" t="n">
        <v>45401.610625</v>
      </c>
      <c r="C10867" s="1" t="n">
        <v>46011</v>
      </c>
      <c r="D10867" t="inlineStr">
        <is>
          <t>VÄSTRA GÖTALANDS LÄN</t>
        </is>
      </c>
      <c r="E10867" t="inlineStr">
        <is>
          <t>STENUNGSUND</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48048-2024</t>
        </is>
      </c>
      <c r="B10868" s="1" t="n">
        <v>45589.53059027778</v>
      </c>
      <c r="C10868" s="1" t="n">
        <v>46011</v>
      </c>
      <c r="D10868" t="inlineStr">
        <is>
          <t>VÄSTRA GÖTALANDS LÄN</t>
        </is>
      </c>
      <c r="E10868" t="inlineStr">
        <is>
          <t>MELLERUD</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37122-2023</t>
        </is>
      </c>
      <c r="B10869" s="1" t="n">
        <v>45155</v>
      </c>
      <c r="C10869" s="1" t="n">
        <v>46011</v>
      </c>
      <c r="D10869" t="inlineStr">
        <is>
          <t>VÄSTRA GÖTALANDS LÄN</t>
        </is>
      </c>
      <c r="E10869" t="inlineStr">
        <is>
          <t>BORÅS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37179-2023</t>
        </is>
      </c>
      <c r="B10870" s="1" t="n">
        <v>45155</v>
      </c>
      <c r="C10870" s="1" t="n">
        <v>46011</v>
      </c>
      <c r="D10870" t="inlineStr">
        <is>
          <t>VÄSTRA GÖTALANDS LÄN</t>
        </is>
      </c>
      <c r="E10870" t="inlineStr">
        <is>
          <t>TIDAHOLM</t>
        </is>
      </c>
      <c r="F10870" t="inlineStr">
        <is>
          <t>Sveaskog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39660-2024</t>
        </is>
      </c>
      <c r="B10871" s="1" t="n">
        <v>45552</v>
      </c>
      <c r="C10871" s="1" t="n">
        <v>46011</v>
      </c>
      <c r="D10871" t="inlineStr">
        <is>
          <t>VÄSTRA GÖTALANDS LÄN</t>
        </is>
      </c>
      <c r="E10871" t="inlineStr">
        <is>
          <t>TÖREBODA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38775-2023</t>
        </is>
      </c>
      <c r="B10872" s="1" t="n">
        <v>45163.43252314815</v>
      </c>
      <c r="C10872" s="1" t="n">
        <v>46011</v>
      </c>
      <c r="D10872" t="inlineStr">
        <is>
          <t>VÄSTRA GÖTALANDS LÄN</t>
        </is>
      </c>
      <c r="E10872" t="inlineStr">
        <is>
          <t>ULRICEHAMN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25009-2023</t>
        </is>
      </c>
      <c r="B10873" s="1" t="n">
        <v>45085</v>
      </c>
      <c r="C10873" s="1" t="n">
        <v>46011</v>
      </c>
      <c r="D10873" t="inlineStr">
        <is>
          <t>VÄSTRA GÖTALANDS LÄN</t>
        </is>
      </c>
      <c r="E10873" t="inlineStr">
        <is>
          <t>LYSEKIL</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19038-2023</t>
        </is>
      </c>
      <c r="B10874" s="1" t="n">
        <v>45047</v>
      </c>
      <c r="C10874" s="1" t="n">
        <v>46011</v>
      </c>
      <c r="D10874" t="inlineStr">
        <is>
          <t>VÄSTRA GÖTALANDS LÄN</t>
        </is>
      </c>
      <c r="E10874" t="inlineStr">
        <is>
          <t>TIDAHOLM</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6114-2022</t>
        </is>
      </c>
      <c r="B10875" s="1" t="n">
        <v>44599</v>
      </c>
      <c r="C10875" s="1" t="n">
        <v>46011</v>
      </c>
      <c r="D10875" t="inlineStr">
        <is>
          <t>VÄSTRA GÖTALANDS LÄN</t>
        </is>
      </c>
      <c r="E10875" t="inlineStr">
        <is>
          <t>BENGTSFORS</t>
        </is>
      </c>
      <c r="G10875" t="n">
        <v>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6156-2022</t>
        </is>
      </c>
      <c r="B10876" s="1" t="n">
        <v>44599</v>
      </c>
      <c r="C10876" s="1" t="n">
        <v>46011</v>
      </c>
      <c r="D10876" t="inlineStr">
        <is>
          <t>VÄSTRA GÖTALANDS LÄN</t>
        </is>
      </c>
      <c r="E10876" t="inlineStr">
        <is>
          <t>MARK</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4584-2022</t>
        </is>
      </c>
      <c r="B10877" s="1" t="n">
        <v>44591.90067129629</v>
      </c>
      <c r="C10877" s="1" t="n">
        <v>46011</v>
      </c>
      <c r="D10877" t="inlineStr">
        <is>
          <t>VÄSTRA GÖTALANDS LÄN</t>
        </is>
      </c>
      <c r="E10877" t="inlineStr">
        <is>
          <t>TANUM</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59303-2024</t>
        </is>
      </c>
      <c r="B10878" s="1" t="n">
        <v>45637.66935185185</v>
      </c>
      <c r="C10878" s="1" t="n">
        <v>46011</v>
      </c>
      <c r="D10878" t="inlineStr">
        <is>
          <t>VÄSTRA GÖTALANDS LÄN</t>
        </is>
      </c>
      <c r="E10878" t="inlineStr">
        <is>
          <t>ALINGSÅS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2798-2022</t>
        </is>
      </c>
      <c r="B10879" s="1" t="n">
        <v>44581.38091435185</v>
      </c>
      <c r="C10879" s="1" t="n">
        <v>46011</v>
      </c>
      <c r="D10879" t="inlineStr">
        <is>
          <t>VÄSTRA GÖTALANDS LÄN</t>
        </is>
      </c>
      <c r="E10879" t="inlineStr">
        <is>
          <t>FÄRGELANDA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3478-2022</t>
        </is>
      </c>
      <c r="B10880" s="1" t="n">
        <v>44585.62112268519</v>
      </c>
      <c r="C10880" s="1" t="n">
        <v>46011</v>
      </c>
      <c r="D10880" t="inlineStr">
        <is>
          <t>VÄSTRA GÖTALANDS LÄN</t>
        </is>
      </c>
      <c r="E10880" t="inlineStr">
        <is>
          <t>MARK</t>
        </is>
      </c>
      <c r="F10880" t="inlineStr">
        <is>
          <t>Sveaskog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59712-2021</t>
        </is>
      </c>
      <c r="B10881" s="1" t="n">
        <v>44494</v>
      </c>
      <c r="C10881" s="1" t="n">
        <v>46011</v>
      </c>
      <c r="D10881" t="inlineStr">
        <is>
          <t>VÄSTRA GÖTALANDS LÄN</t>
        </is>
      </c>
      <c r="E10881" t="inlineStr">
        <is>
          <t>KARLSBORG</t>
        </is>
      </c>
      <c r="F10881" t="inlineStr">
        <is>
          <t>Sveaskog</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67782-2021</t>
        </is>
      </c>
      <c r="B10882" s="1" t="n">
        <v>44525</v>
      </c>
      <c r="C10882" s="1" t="n">
        <v>46011</v>
      </c>
      <c r="D10882" t="inlineStr">
        <is>
          <t>VÄSTRA GÖTALANDS LÄN</t>
        </is>
      </c>
      <c r="E10882" t="inlineStr">
        <is>
          <t>HERRLJUNGA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11910-2023</t>
        </is>
      </c>
      <c r="B10883" s="1" t="n">
        <v>44995</v>
      </c>
      <c r="C10883" s="1" t="n">
        <v>46011</v>
      </c>
      <c r="D10883" t="inlineStr">
        <is>
          <t>VÄSTRA GÖTALANDS LÄN</t>
        </is>
      </c>
      <c r="E10883" t="inlineStr">
        <is>
          <t>ÅMÅL</t>
        </is>
      </c>
      <c r="G10883" t="n">
        <v>9.4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64990-2021</t>
        </is>
      </c>
      <c r="B10884" s="1" t="n">
        <v>44514.44543981482</v>
      </c>
      <c r="C10884" s="1" t="n">
        <v>46011</v>
      </c>
      <c r="D10884" t="inlineStr">
        <is>
          <t>VÄSTRA GÖTALANDS LÄN</t>
        </is>
      </c>
      <c r="E10884" t="inlineStr">
        <is>
          <t>TANUM</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65064-2021</t>
        </is>
      </c>
      <c r="B10885" s="1" t="n">
        <v>44515</v>
      </c>
      <c r="C10885" s="1" t="n">
        <v>46011</v>
      </c>
      <c r="D10885" t="inlineStr">
        <is>
          <t>VÄSTRA GÖTALANDS LÄN</t>
        </is>
      </c>
      <c r="E10885" t="inlineStr">
        <is>
          <t>BORÅS</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35433-2023</t>
        </is>
      </c>
      <c r="B10886" s="1" t="n">
        <v>45146.62883101852</v>
      </c>
      <c r="C10886" s="1" t="n">
        <v>46011</v>
      </c>
      <c r="D10886" t="inlineStr">
        <is>
          <t>VÄSTRA GÖTALANDS LÄN</t>
        </is>
      </c>
      <c r="E10886" t="inlineStr">
        <is>
          <t>GULLSPÅNG</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32237-2023</t>
        </is>
      </c>
      <c r="B10887" s="1" t="n">
        <v>45119</v>
      </c>
      <c r="C10887" s="1" t="n">
        <v>46011</v>
      </c>
      <c r="D10887" t="inlineStr">
        <is>
          <t>VÄSTRA GÖTALANDS LÄN</t>
        </is>
      </c>
      <c r="E10887" t="inlineStr">
        <is>
          <t>BORÅS</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32384-2023</t>
        </is>
      </c>
      <c r="B10888" s="1" t="n">
        <v>45120.61326388889</v>
      </c>
      <c r="C10888" s="1" t="n">
        <v>46011</v>
      </c>
      <c r="D10888" t="inlineStr">
        <is>
          <t>VÄSTRA GÖTALANDS LÄN</t>
        </is>
      </c>
      <c r="E10888" t="inlineStr">
        <is>
          <t>MELLERUD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58066-2021</t>
        </is>
      </c>
      <c r="B10889" s="1" t="n">
        <v>44487</v>
      </c>
      <c r="C10889" s="1" t="n">
        <v>46011</v>
      </c>
      <c r="D10889" t="inlineStr">
        <is>
          <t>VÄSTRA GÖTALANDS LÄN</t>
        </is>
      </c>
      <c r="E10889" t="inlineStr">
        <is>
          <t>MUNKEDAL</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3243-2022</t>
        </is>
      </c>
      <c r="B10890" s="1" t="n">
        <v>44582</v>
      </c>
      <c r="C10890" s="1" t="n">
        <v>46011</v>
      </c>
      <c r="D10890" t="inlineStr">
        <is>
          <t>VÄSTRA GÖTALANDS LÄN</t>
        </is>
      </c>
      <c r="E10890" t="inlineStr">
        <is>
          <t>STENUNGSUND</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18613-2025</t>
        </is>
      </c>
      <c r="B10891" s="1" t="n">
        <v>45763.49810185185</v>
      </c>
      <c r="C10891" s="1" t="n">
        <v>46011</v>
      </c>
      <c r="D10891" t="inlineStr">
        <is>
          <t>VÄSTRA GÖTALANDS LÄN</t>
        </is>
      </c>
      <c r="E10891" t="inlineStr">
        <is>
          <t>BOLLEBYGD</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21291-2024</t>
        </is>
      </c>
      <c r="B10892" s="1" t="n">
        <v>45440.66341435185</v>
      </c>
      <c r="C10892" s="1" t="n">
        <v>46011</v>
      </c>
      <c r="D10892" t="inlineStr">
        <is>
          <t>VÄSTRA GÖTALANDS LÄN</t>
        </is>
      </c>
      <c r="E10892" t="inlineStr">
        <is>
          <t>VARA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18614-2025</t>
        </is>
      </c>
      <c r="B10893" s="1" t="n">
        <v>45763.50244212963</v>
      </c>
      <c r="C10893" s="1" t="n">
        <v>46011</v>
      </c>
      <c r="D10893" t="inlineStr">
        <is>
          <t>VÄSTRA GÖTALANDS LÄN</t>
        </is>
      </c>
      <c r="E10893" t="inlineStr">
        <is>
          <t>BOLLEBYGD</t>
        </is>
      </c>
      <c r="G10893" t="n">
        <v>9.699999999999999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13073-2025</t>
        </is>
      </c>
      <c r="B10894" s="1" t="n">
        <v>45734.61699074074</v>
      </c>
      <c r="C10894" s="1" t="n">
        <v>46011</v>
      </c>
      <c r="D10894" t="inlineStr">
        <is>
          <t>VÄSTRA GÖTALANDS LÄN</t>
        </is>
      </c>
      <c r="E10894" t="inlineStr">
        <is>
          <t>MELLERUD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17670-2025</t>
        </is>
      </c>
      <c r="B10895" s="1" t="n">
        <v>45758.3678125</v>
      </c>
      <c r="C10895" s="1" t="n">
        <v>46011</v>
      </c>
      <c r="D10895" t="inlineStr">
        <is>
          <t>VÄSTRA GÖTALANDS LÄN</t>
        </is>
      </c>
      <c r="E10895" t="inlineStr">
        <is>
          <t>TIDAHOLM</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36131-2024</t>
        </is>
      </c>
      <c r="B10896" s="1" t="n">
        <v>45534.33863425926</v>
      </c>
      <c r="C10896" s="1" t="n">
        <v>46011</v>
      </c>
      <c r="D10896" t="inlineStr">
        <is>
          <t>VÄSTRA GÖTALANDS LÄN</t>
        </is>
      </c>
      <c r="E10896" t="inlineStr">
        <is>
          <t>BOLLEBYGD</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53542-2024</t>
        </is>
      </c>
      <c r="B10897" s="1" t="n">
        <v>45614.63621527778</v>
      </c>
      <c r="C10897" s="1" t="n">
        <v>46011</v>
      </c>
      <c r="D10897" t="inlineStr">
        <is>
          <t>VÄSTRA GÖTALANDS LÄN</t>
        </is>
      </c>
      <c r="E10897" t="inlineStr">
        <is>
          <t>HERRLJUNGA</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10610-2025</t>
        </is>
      </c>
      <c r="B10898" s="1" t="n">
        <v>45721.59978009259</v>
      </c>
      <c r="C10898" s="1" t="n">
        <v>46011</v>
      </c>
      <c r="D10898" t="inlineStr">
        <is>
          <t>VÄSTRA GÖTALANDS LÄN</t>
        </is>
      </c>
      <c r="E10898" t="inlineStr">
        <is>
          <t>BOLLEBYGD</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8808-2024</t>
        </is>
      </c>
      <c r="B10899" s="1" t="n">
        <v>45356.6531712963</v>
      </c>
      <c r="C10899" s="1" t="n">
        <v>46011</v>
      </c>
      <c r="D10899" t="inlineStr">
        <is>
          <t>VÄSTRA GÖTALANDS LÄN</t>
        </is>
      </c>
      <c r="E10899" t="inlineStr">
        <is>
          <t>MARK</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8814-2024</t>
        </is>
      </c>
      <c r="B10900" s="1" t="n">
        <v>45356.65916666666</v>
      </c>
      <c r="C10900" s="1" t="n">
        <v>46011</v>
      </c>
      <c r="D10900" t="inlineStr">
        <is>
          <t>VÄSTRA GÖTALANDS LÄN</t>
        </is>
      </c>
      <c r="E10900" t="inlineStr">
        <is>
          <t>MARK</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2946-2024</t>
        </is>
      </c>
      <c r="B10901" s="1" t="n">
        <v>45315</v>
      </c>
      <c r="C10901" s="1" t="n">
        <v>46011</v>
      </c>
      <c r="D10901" t="inlineStr">
        <is>
          <t>VÄSTRA GÖTALANDS LÄN</t>
        </is>
      </c>
      <c r="E10901" t="inlineStr">
        <is>
          <t>HÄRRYDA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31712-2023</t>
        </is>
      </c>
      <c r="B10902" s="1" t="n">
        <v>45117.8322337963</v>
      </c>
      <c r="C10902" s="1" t="n">
        <v>46011</v>
      </c>
      <c r="D10902" t="inlineStr">
        <is>
          <t>VÄSTRA GÖTALANDS LÄN</t>
        </is>
      </c>
      <c r="E10902" t="inlineStr">
        <is>
          <t>BOLLEBYGD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31715-2023</t>
        </is>
      </c>
      <c r="B10903" s="1" t="n">
        <v>45117.84797453704</v>
      </c>
      <c r="C10903" s="1" t="n">
        <v>46011</v>
      </c>
      <c r="D10903" t="inlineStr">
        <is>
          <t>VÄSTRA GÖTALANDS LÄN</t>
        </is>
      </c>
      <c r="E10903" t="inlineStr">
        <is>
          <t>BOLLEBYGD</t>
        </is>
      </c>
      <c r="G10903" t="n">
        <v>12.4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31745-2023</t>
        </is>
      </c>
      <c r="B10904" s="1" t="n">
        <v>45117</v>
      </c>
      <c r="C10904" s="1" t="n">
        <v>46011</v>
      </c>
      <c r="D10904" t="inlineStr">
        <is>
          <t>VÄSTRA GÖTALANDS LÄN</t>
        </is>
      </c>
      <c r="E10904" t="inlineStr">
        <is>
          <t>BOLLEBYGD</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38563-2023</t>
        </is>
      </c>
      <c r="B10905" s="1" t="n">
        <v>45162.60915509259</v>
      </c>
      <c r="C10905" s="1" t="n">
        <v>46011</v>
      </c>
      <c r="D10905" t="inlineStr">
        <is>
          <t>VÄSTRA GÖTALANDS LÄN</t>
        </is>
      </c>
      <c r="E10905" t="inlineStr">
        <is>
          <t>ULRICEHAMN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19208-2024</t>
        </is>
      </c>
      <c r="B10906" s="1" t="n">
        <v>45428.5444212963</v>
      </c>
      <c r="C10906" s="1" t="n">
        <v>46011</v>
      </c>
      <c r="D10906" t="inlineStr">
        <is>
          <t>VÄSTRA GÖTALANDS LÄN</t>
        </is>
      </c>
      <c r="E10906" t="inlineStr">
        <is>
          <t>BENGTSFORS</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6324-2025</t>
        </is>
      </c>
      <c r="B10907" s="1" t="n">
        <v>45698.8477199074</v>
      </c>
      <c r="C10907" s="1" t="n">
        <v>46011</v>
      </c>
      <c r="D10907" t="inlineStr">
        <is>
          <t>VÄSTRA GÖTALANDS LÄN</t>
        </is>
      </c>
      <c r="E10907" t="inlineStr">
        <is>
          <t>ULRICEHAMN</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34105-2024</t>
        </is>
      </c>
      <c r="B10908" s="1" t="n">
        <v>45523.83888888889</v>
      </c>
      <c r="C10908" s="1" t="n">
        <v>46011</v>
      </c>
      <c r="D10908" t="inlineStr">
        <is>
          <t>VÄSTRA GÖTALANDS LÄN</t>
        </is>
      </c>
      <c r="E10908" t="inlineStr">
        <is>
          <t>STENUNGSUND</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34110-2024</t>
        </is>
      </c>
      <c r="B10909" s="1" t="n">
        <v>45524.28465277778</v>
      </c>
      <c r="C10909" s="1" t="n">
        <v>46011</v>
      </c>
      <c r="D10909" t="inlineStr">
        <is>
          <t>VÄSTRA GÖTALANDS LÄN</t>
        </is>
      </c>
      <c r="E10909" t="inlineStr">
        <is>
          <t>UDDEVALLA</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16400-2025</t>
        </is>
      </c>
      <c r="B10910" s="1" t="n">
        <v>45751.44672453704</v>
      </c>
      <c r="C10910" s="1" t="n">
        <v>46011</v>
      </c>
      <c r="D10910" t="inlineStr">
        <is>
          <t>VÄSTRA GÖTALANDS LÄN</t>
        </is>
      </c>
      <c r="E10910" t="inlineStr">
        <is>
          <t>SVENLJUNGA</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39116-2024</t>
        </is>
      </c>
      <c r="B10911" s="1" t="n">
        <v>45548.58743055556</v>
      </c>
      <c r="C10911" s="1" t="n">
        <v>46011</v>
      </c>
      <c r="D10911" t="inlineStr">
        <is>
          <t>VÄSTRA GÖTALANDS LÄN</t>
        </is>
      </c>
      <c r="E10911" t="inlineStr">
        <is>
          <t>MARIESTAD</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16466-2025</t>
        </is>
      </c>
      <c r="B10912" s="1" t="n">
        <v>45751.53894675926</v>
      </c>
      <c r="C10912" s="1" t="n">
        <v>46011</v>
      </c>
      <c r="D10912" t="inlineStr">
        <is>
          <t>VÄSTRA GÖTALANDS LÄN</t>
        </is>
      </c>
      <c r="E10912" t="inlineStr">
        <is>
          <t>MARIESTAD</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7722-2024</t>
        </is>
      </c>
      <c r="B10913" s="1" t="n">
        <v>45349</v>
      </c>
      <c r="C10913" s="1" t="n">
        <v>46011</v>
      </c>
      <c r="D10913" t="inlineStr">
        <is>
          <t>VÄSTRA GÖTALANDS LÄN</t>
        </is>
      </c>
      <c r="E10913" t="inlineStr">
        <is>
          <t>HJO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7726-2024</t>
        </is>
      </c>
      <c r="B10914" s="1" t="n">
        <v>45349</v>
      </c>
      <c r="C10914" s="1" t="n">
        <v>46011</v>
      </c>
      <c r="D10914" t="inlineStr">
        <is>
          <t>VÄSTRA GÖTALANDS LÄN</t>
        </is>
      </c>
      <c r="E10914" t="inlineStr">
        <is>
          <t>UDDEVALLA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15480-2025</t>
        </is>
      </c>
      <c r="B10915" s="1" t="n">
        <v>45747.55828703703</v>
      </c>
      <c r="C10915" s="1" t="n">
        <v>46011</v>
      </c>
      <c r="D10915" t="inlineStr">
        <is>
          <t>VÄSTRA GÖTALANDS LÄN</t>
        </is>
      </c>
      <c r="E10915" t="inlineStr">
        <is>
          <t>HÄRRYDA</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14424-2024</t>
        </is>
      </c>
      <c r="B10916" s="1" t="n">
        <v>45394</v>
      </c>
      <c r="C10916" s="1" t="n">
        <v>46011</v>
      </c>
      <c r="D10916" t="inlineStr">
        <is>
          <t>VÄSTRA GÖTALANDS LÄN</t>
        </is>
      </c>
      <c r="E10916" t="inlineStr">
        <is>
          <t>TRANEMO</t>
        </is>
      </c>
      <c r="G10916" t="n">
        <v>13.9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8535-2024</t>
        </is>
      </c>
      <c r="B10917" s="1" t="n">
        <v>45355.51329861111</v>
      </c>
      <c r="C10917" s="1" t="n">
        <v>46011</v>
      </c>
      <c r="D10917" t="inlineStr">
        <is>
          <t>VÄSTRA GÖTALANDS LÄN</t>
        </is>
      </c>
      <c r="E10917" t="inlineStr">
        <is>
          <t>TANUM</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56685-2024</t>
        </is>
      </c>
      <c r="B10918" s="1" t="n">
        <v>45627.58290509259</v>
      </c>
      <c r="C10918" s="1" t="n">
        <v>46011</v>
      </c>
      <c r="D10918" t="inlineStr">
        <is>
          <t>VÄSTRA GÖTALANDS LÄN</t>
        </is>
      </c>
      <c r="E10918" t="inlineStr">
        <is>
          <t>TÖREBODA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8542-2024</t>
        </is>
      </c>
      <c r="B10919" s="1" t="n">
        <v>45355.5446875</v>
      </c>
      <c r="C10919" s="1" t="n">
        <v>46011</v>
      </c>
      <c r="D10919" t="inlineStr">
        <is>
          <t>VÄSTRA GÖTALANDS LÄN</t>
        </is>
      </c>
      <c r="E10919" t="inlineStr">
        <is>
          <t>BENGTSFORS</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41382-2024</t>
        </is>
      </c>
      <c r="B10920" s="1" t="n">
        <v>45560.27940972222</v>
      </c>
      <c r="C10920" s="1" t="n">
        <v>46011</v>
      </c>
      <c r="D10920" t="inlineStr">
        <is>
          <t>VÄSTRA GÖTALANDS LÄN</t>
        </is>
      </c>
      <c r="E10920" t="inlineStr">
        <is>
          <t>SVENLJUNGA</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33894-2024</t>
        </is>
      </c>
      <c r="B10921" s="1" t="n">
        <v>45522</v>
      </c>
      <c r="C10921" s="1" t="n">
        <v>46011</v>
      </c>
      <c r="D10921" t="inlineStr">
        <is>
          <t>VÄSTRA GÖTALANDS LÄN</t>
        </is>
      </c>
      <c r="E10921" t="inlineStr">
        <is>
          <t>TANUM</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37204-2024</t>
        </is>
      </c>
      <c r="B10922" s="1" t="n">
        <v>45539.67663194444</v>
      </c>
      <c r="C10922" s="1" t="n">
        <v>46011</v>
      </c>
      <c r="D10922" t="inlineStr">
        <is>
          <t>VÄSTRA GÖTALANDS LÄN</t>
        </is>
      </c>
      <c r="E10922" t="inlineStr">
        <is>
          <t>SKÖVDE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150-2025</t>
        </is>
      </c>
      <c r="B10923" s="1" t="n">
        <v>45659.61055555556</v>
      </c>
      <c r="C10923" s="1" t="n">
        <v>46011</v>
      </c>
      <c r="D10923" t="inlineStr">
        <is>
          <t>VÄSTRA GÖTALANDS LÄN</t>
        </is>
      </c>
      <c r="E10923" t="inlineStr">
        <is>
          <t>ULRICEHAMN</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246-2025</t>
        </is>
      </c>
      <c r="B10924" s="1" t="n">
        <v>45660.4183449074</v>
      </c>
      <c r="C10924" s="1" t="n">
        <v>46011</v>
      </c>
      <c r="D10924" t="inlineStr">
        <is>
          <t>VÄSTRA GÖTALANDS LÄN</t>
        </is>
      </c>
      <c r="E10924" t="inlineStr">
        <is>
          <t>LIDKÖPING</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5606-2024</t>
        </is>
      </c>
      <c r="B10925" s="1" t="n">
        <v>45334</v>
      </c>
      <c r="C10925" s="1" t="n">
        <v>46011</v>
      </c>
      <c r="D10925" t="inlineStr">
        <is>
          <t>VÄSTRA GÖTALANDS LÄN</t>
        </is>
      </c>
      <c r="E10925" t="inlineStr">
        <is>
          <t>SVENLJUNGA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27463-2024</t>
        </is>
      </c>
      <c r="B10926" s="1" t="n">
        <v>45474.45266203704</v>
      </c>
      <c r="C10926" s="1" t="n">
        <v>46011</v>
      </c>
      <c r="D10926" t="inlineStr">
        <is>
          <t>VÄSTRA GÖTALANDS LÄN</t>
        </is>
      </c>
      <c r="E10926" t="inlineStr">
        <is>
          <t>KUNGÄLV</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5164-2024</t>
        </is>
      </c>
      <c r="B10927" s="1" t="n">
        <v>45330.53326388889</v>
      </c>
      <c r="C10927" s="1" t="n">
        <v>46011</v>
      </c>
      <c r="D10927" t="inlineStr">
        <is>
          <t>VÄSTRA GÖTALANDS LÄN</t>
        </is>
      </c>
      <c r="E10927" t="inlineStr">
        <is>
          <t>MARIESTAD</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5617-2024</t>
        </is>
      </c>
      <c r="B10928" s="1" t="n">
        <v>45334.58319444444</v>
      </c>
      <c r="C10928" s="1" t="n">
        <v>46011</v>
      </c>
      <c r="D10928" t="inlineStr">
        <is>
          <t>VÄSTRA GÖTALANDS LÄN</t>
        </is>
      </c>
      <c r="E10928" t="inlineStr">
        <is>
          <t>ORUST</t>
        </is>
      </c>
      <c r="G10928" t="n">
        <v>2</v>
      </c>
      <c r="H10928" t="n">
        <v>0</v>
      </c>
      <c r="I10928" t="n">
        <v>0</v>
      </c>
      <c r="J10928" t="n">
        <v>0</v>
      </c>
      <c r="K10928" t="n">
        <v>0</v>
      </c>
      <c r="L10928" t="n">
        <v>0</v>
      </c>
      <c r="M10928" t="n">
        <v>0</v>
      </c>
      <c r="N10928" t="n">
        <v>0</v>
      </c>
      <c r="O10928" t="n">
        <v>0</v>
      </c>
      <c r="P10928" t="n">
        <v>0</v>
      </c>
      <c r="Q10928" t="n">
        <v>0</v>
      </c>
      <c r="R10928" s="2" t="inlineStr"/>
      <c r="U10928">
        <f>HYPERLINK("https://klasma.github.io/Logging_1421/knärot/A 5617-2024 karta knärot.png", "A 5617-2024")</f>
        <v/>
      </c>
      <c r="V10928">
        <f>HYPERLINK("https://klasma.github.io/Logging_1421/klagomål/A 5617-2024 FSC-klagomål.docx", "A 5617-2024")</f>
        <v/>
      </c>
      <c r="W10928">
        <f>HYPERLINK("https://klasma.github.io/Logging_1421/klagomålsmail/A 5617-2024 FSC-klagomål mail.docx", "A 5617-2024")</f>
        <v/>
      </c>
      <c r="X10928">
        <f>HYPERLINK("https://klasma.github.io/Logging_1421/tillsyn/A 5617-2024 tillsynsbegäran.docx", "A 5617-2024")</f>
        <v/>
      </c>
      <c r="Y10928">
        <f>HYPERLINK("https://klasma.github.io/Logging_1421/tillsynsmail/A 5617-2024 tillsynsbegäran mail.docx", "A 5617-2024")</f>
        <v/>
      </c>
    </row>
    <row r="10929" ht="15" customHeight="1">
      <c r="A10929" t="inlineStr">
        <is>
          <t>A 5656-2024</t>
        </is>
      </c>
      <c r="B10929" s="1" t="n">
        <v>45334</v>
      </c>
      <c r="C10929" s="1" t="n">
        <v>46011</v>
      </c>
      <c r="D10929" t="inlineStr">
        <is>
          <t>VÄSTRA GÖTALANDS LÄN</t>
        </is>
      </c>
      <c r="E10929" t="inlineStr">
        <is>
          <t>SKÖVDE</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7921-2024</t>
        </is>
      </c>
      <c r="B10930" s="1" t="n">
        <v>45350</v>
      </c>
      <c r="C10930" s="1" t="n">
        <v>46011</v>
      </c>
      <c r="D10930" t="inlineStr">
        <is>
          <t>VÄSTRA GÖTALANDS LÄN</t>
        </is>
      </c>
      <c r="E10930" t="inlineStr">
        <is>
          <t>TROLLHÄTTAN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39568-2024</t>
        </is>
      </c>
      <c r="B10931" s="1" t="n">
        <v>45552.35871527778</v>
      </c>
      <c r="C10931" s="1" t="n">
        <v>46011</v>
      </c>
      <c r="D10931" t="inlineStr">
        <is>
          <t>VÄSTRA GÖTALANDS LÄN</t>
        </is>
      </c>
      <c r="E10931" t="inlineStr">
        <is>
          <t>ULRICEHAMN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15684-2023</t>
        </is>
      </c>
      <c r="B10932" s="1" t="n">
        <v>45021</v>
      </c>
      <c r="C10932" s="1" t="n">
        <v>46011</v>
      </c>
      <c r="D10932" t="inlineStr">
        <is>
          <t>VÄSTRA GÖTALANDS LÄN</t>
        </is>
      </c>
      <c r="E10932" t="inlineStr">
        <is>
          <t>TIBRO</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15708-2023</t>
        </is>
      </c>
      <c r="B10933" s="1" t="n">
        <v>45021.52868055556</v>
      </c>
      <c r="C10933" s="1" t="n">
        <v>46011</v>
      </c>
      <c r="D10933" t="inlineStr">
        <is>
          <t>VÄSTRA GÖTALANDS LÄN</t>
        </is>
      </c>
      <c r="E10933" t="inlineStr">
        <is>
          <t>SVENLJUNGA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40542-2024</t>
        </is>
      </c>
      <c r="B10934" s="1" t="n">
        <v>45555.63206018518</v>
      </c>
      <c r="C10934" s="1" t="n">
        <v>46011</v>
      </c>
      <c r="D10934" t="inlineStr">
        <is>
          <t>VÄSTRA GÖTALANDS LÄN</t>
        </is>
      </c>
      <c r="E10934" t="inlineStr">
        <is>
          <t>TÖREBODA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40557-2024</t>
        </is>
      </c>
      <c r="B10935" s="1" t="n">
        <v>45555.65413194444</v>
      </c>
      <c r="C10935" s="1" t="n">
        <v>46011</v>
      </c>
      <c r="D10935" t="inlineStr">
        <is>
          <t>VÄSTRA GÖTALANDS LÄN</t>
        </is>
      </c>
      <c r="E10935" t="inlineStr">
        <is>
          <t>MARK</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34497-2024</t>
        </is>
      </c>
      <c r="B10936" s="1" t="n">
        <v>45525.63168981481</v>
      </c>
      <c r="C10936" s="1" t="n">
        <v>46011</v>
      </c>
      <c r="D10936" t="inlineStr">
        <is>
          <t>VÄSTRA GÖTALANDS LÄN</t>
        </is>
      </c>
      <c r="E10936" t="inlineStr">
        <is>
          <t>TANUM</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60227-2024</t>
        </is>
      </c>
      <c r="B10937" s="1" t="n">
        <v>45640</v>
      </c>
      <c r="C10937" s="1" t="n">
        <v>46011</v>
      </c>
      <c r="D10937" t="inlineStr">
        <is>
          <t>VÄSTRA GÖTALANDS LÄN</t>
        </is>
      </c>
      <c r="E10937" t="inlineStr">
        <is>
          <t>MUNKEDAL</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60239-2024</t>
        </is>
      </c>
      <c r="B10938" s="1" t="n">
        <v>45642.78518518519</v>
      </c>
      <c r="C10938" s="1" t="n">
        <v>46011</v>
      </c>
      <c r="D10938" t="inlineStr">
        <is>
          <t>VÄSTRA GÖTALANDS LÄN</t>
        </is>
      </c>
      <c r="E10938" t="inlineStr">
        <is>
          <t>FALKÖPING</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60240-2024</t>
        </is>
      </c>
      <c r="B10939" s="1" t="n">
        <v>45642.79180555556</v>
      </c>
      <c r="C10939" s="1" t="n">
        <v>46011</v>
      </c>
      <c r="D10939" t="inlineStr">
        <is>
          <t>VÄSTRA GÖTALANDS LÄN</t>
        </is>
      </c>
      <c r="E10939" t="inlineStr">
        <is>
          <t>FALKÖPING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45323-2024</t>
        </is>
      </c>
      <c r="B10940" s="1" t="n">
        <v>45576.44700231482</v>
      </c>
      <c r="C10940" s="1" t="n">
        <v>46011</v>
      </c>
      <c r="D10940" t="inlineStr">
        <is>
          <t>VÄSTRA GÖTALANDS LÄN</t>
        </is>
      </c>
      <c r="E10940" t="inlineStr">
        <is>
          <t>ALINGSÅS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47363-2024</t>
        </is>
      </c>
      <c r="B10941" s="1" t="n">
        <v>45587.44087962963</v>
      </c>
      <c r="C10941" s="1" t="n">
        <v>46011</v>
      </c>
      <c r="D10941" t="inlineStr">
        <is>
          <t>VÄSTRA GÖTALANDS LÄN</t>
        </is>
      </c>
      <c r="E10941" t="inlineStr">
        <is>
          <t>TRANEMO</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46947-2024</t>
        </is>
      </c>
      <c r="B10942" s="1" t="n">
        <v>45585.79972222223</v>
      </c>
      <c r="C10942" s="1" t="n">
        <v>46011</v>
      </c>
      <c r="D10942" t="inlineStr">
        <is>
          <t>VÄSTRA GÖTALANDS LÄN</t>
        </is>
      </c>
      <c r="E10942" t="inlineStr">
        <is>
          <t>ULRICEHAMN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37109-2022</t>
        </is>
      </c>
      <c r="B10943" s="1" t="n">
        <v>44806.52274305555</v>
      </c>
      <c r="C10943" s="1" t="n">
        <v>46011</v>
      </c>
      <c r="D10943" t="inlineStr">
        <is>
          <t>VÄSTRA GÖTALANDS LÄN</t>
        </is>
      </c>
      <c r="E10943" t="inlineStr">
        <is>
          <t>SVENLJUNGA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18006-2025</t>
        </is>
      </c>
      <c r="B10944" s="1" t="n">
        <v>45761.42684027777</v>
      </c>
      <c r="C10944" s="1" t="n">
        <v>46011</v>
      </c>
      <c r="D10944" t="inlineStr">
        <is>
          <t>VÄSTRA GÖTALANDS LÄN</t>
        </is>
      </c>
      <c r="E10944" t="inlineStr">
        <is>
          <t>TANUM</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10050-2025</t>
        </is>
      </c>
      <c r="B10945" s="1" t="n">
        <v>45719</v>
      </c>
      <c r="C10945" s="1" t="n">
        <v>46011</v>
      </c>
      <c r="D10945" t="inlineStr">
        <is>
          <t>VÄSTRA GÖTALANDS LÄN</t>
        </is>
      </c>
      <c r="E10945" t="inlineStr">
        <is>
          <t>BENGTSFORS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9030-2021</t>
        </is>
      </c>
      <c r="B10946" s="1" t="n">
        <v>44249</v>
      </c>
      <c r="C10946" s="1" t="n">
        <v>46011</v>
      </c>
      <c r="D10946" t="inlineStr">
        <is>
          <t>VÄSTRA GÖTALANDS LÄN</t>
        </is>
      </c>
      <c r="E10946" t="inlineStr">
        <is>
          <t>BENGTSFORS</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28995-2022</t>
        </is>
      </c>
      <c r="B10947" s="1" t="n">
        <v>44749</v>
      </c>
      <c r="C10947" s="1" t="n">
        <v>46011</v>
      </c>
      <c r="D10947" t="inlineStr">
        <is>
          <t>VÄSTRA GÖTALANDS LÄN</t>
        </is>
      </c>
      <c r="E10947" t="inlineStr">
        <is>
          <t>MUNKEDAL</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41228-2024</t>
        </is>
      </c>
      <c r="B10948" s="1" t="n">
        <v>45559.56003472222</v>
      </c>
      <c r="C10948" s="1" t="n">
        <v>46011</v>
      </c>
      <c r="D10948" t="inlineStr">
        <is>
          <t>VÄSTRA GÖTALANDS LÄN</t>
        </is>
      </c>
      <c r="E10948" t="inlineStr">
        <is>
          <t>BENGTSFORS</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25316-2021</t>
        </is>
      </c>
      <c r="B10949" s="1" t="n">
        <v>44342</v>
      </c>
      <c r="C10949" s="1" t="n">
        <v>46011</v>
      </c>
      <c r="D10949" t="inlineStr">
        <is>
          <t>VÄSTRA GÖTALANDS LÄN</t>
        </is>
      </c>
      <c r="E10949" t="inlineStr">
        <is>
          <t>HJO</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23014-2023</t>
        </is>
      </c>
      <c r="B10950" s="1" t="n">
        <v>45073</v>
      </c>
      <c r="C10950" s="1" t="n">
        <v>46011</v>
      </c>
      <c r="D10950" t="inlineStr">
        <is>
          <t>VÄSTRA GÖTALANDS LÄN</t>
        </is>
      </c>
      <c r="E10950" t="inlineStr">
        <is>
          <t>FALKÖPING</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20842-2024</t>
        </is>
      </c>
      <c r="B10951" s="1" t="n">
        <v>45439.40318287037</v>
      </c>
      <c r="C10951" s="1" t="n">
        <v>46011</v>
      </c>
      <c r="D10951" t="inlineStr">
        <is>
          <t>VÄSTRA GÖTALANDS LÄN</t>
        </is>
      </c>
      <c r="E10951" t="inlineStr">
        <is>
          <t>UDDEVALLA</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43449-2022</t>
        </is>
      </c>
      <c r="B10952" s="1" t="n">
        <v>44835.86141203704</v>
      </c>
      <c r="C10952" s="1" t="n">
        <v>46011</v>
      </c>
      <c r="D10952" t="inlineStr">
        <is>
          <t>VÄSTRA GÖTALANDS LÄN</t>
        </is>
      </c>
      <c r="E10952" t="inlineStr">
        <is>
          <t>BENGTSFORS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54206-2024</t>
        </is>
      </c>
      <c r="B10953" s="1" t="n">
        <v>45616.65384259259</v>
      </c>
      <c r="C10953" s="1" t="n">
        <v>46011</v>
      </c>
      <c r="D10953" t="inlineStr">
        <is>
          <t>VÄSTRA GÖTALANDS LÄN</t>
        </is>
      </c>
      <c r="E10953" t="inlineStr">
        <is>
          <t>DALS-ED</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12996-2025</t>
        </is>
      </c>
      <c r="B10954" s="1" t="n">
        <v>45734.48722222223</v>
      </c>
      <c r="C10954" s="1" t="n">
        <v>46011</v>
      </c>
      <c r="D10954" t="inlineStr">
        <is>
          <t>VÄSTRA GÖTALANDS LÄN</t>
        </is>
      </c>
      <c r="E10954" t="inlineStr">
        <is>
          <t>DALS-ED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26434-2023</t>
        </is>
      </c>
      <c r="B10955" s="1" t="n">
        <v>45092</v>
      </c>
      <c r="C10955" s="1" t="n">
        <v>46011</v>
      </c>
      <c r="D10955" t="inlineStr">
        <is>
          <t>VÄSTRA GÖTALANDS LÄN</t>
        </is>
      </c>
      <c r="E10955" t="inlineStr">
        <is>
          <t>HERRLJUNGA</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60330-2024</t>
        </is>
      </c>
      <c r="B10956" s="1" t="n">
        <v>45643.38454861111</v>
      </c>
      <c r="C10956" s="1" t="n">
        <v>46011</v>
      </c>
      <c r="D10956" t="inlineStr">
        <is>
          <t>VÄSTRA GÖTALANDS LÄN</t>
        </is>
      </c>
      <c r="E10956" t="inlineStr">
        <is>
          <t>FÄRGELANDA</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5926-2024</t>
        </is>
      </c>
      <c r="B10957" s="1" t="n">
        <v>45336</v>
      </c>
      <c r="C10957" s="1" t="n">
        <v>46011</v>
      </c>
      <c r="D10957" t="inlineStr">
        <is>
          <t>VÄSTRA GÖTALANDS LÄN</t>
        </is>
      </c>
      <c r="E10957" t="inlineStr">
        <is>
          <t>ORUST</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31779-2024</t>
        </is>
      </c>
      <c r="B10958" s="1" t="n">
        <v>45509.48347222222</v>
      </c>
      <c r="C10958" s="1" t="n">
        <v>46011</v>
      </c>
      <c r="D10958" t="inlineStr">
        <is>
          <t>VÄSTRA GÖTALANDS LÄN</t>
        </is>
      </c>
      <c r="E10958" t="inlineStr">
        <is>
          <t>SVENLJUNGA</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18723-2025</t>
        </is>
      </c>
      <c r="B10959" s="1" t="n">
        <v>45763.66309027778</v>
      </c>
      <c r="C10959" s="1" t="n">
        <v>46011</v>
      </c>
      <c r="D10959" t="inlineStr">
        <is>
          <t>VÄSTRA GÖTALANDS LÄN</t>
        </is>
      </c>
      <c r="E10959" t="inlineStr">
        <is>
          <t>HERRLJUNGA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5467-2024</t>
        </is>
      </c>
      <c r="B10960" s="1" t="n">
        <v>45332.60163194445</v>
      </c>
      <c r="C10960" s="1" t="n">
        <v>46011</v>
      </c>
      <c r="D10960" t="inlineStr">
        <is>
          <t>VÄSTRA GÖTALANDS LÄN</t>
        </is>
      </c>
      <c r="E10960" t="inlineStr">
        <is>
          <t>MARK</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5487-2024</t>
        </is>
      </c>
      <c r="B10961" s="1" t="n">
        <v>45334.28350694444</v>
      </c>
      <c r="C10961" s="1" t="n">
        <v>46011</v>
      </c>
      <c r="D10961" t="inlineStr">
        <is>
          <t>VÄSTRA GÖTALANDS LÄN</t>
        </is>
      </c>
      <c r="E10961" t="inlineStr">
        <is>
          <t>FALKÖPING</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23166-2023</t>
        </is>
      </c>
      <c r="B10962" s="1" t="n">
        <v>45075</v>
      </c>
      <c r="C10962" s="1" t="n">
        <v>46011</v>
      </c>
      <c r="D10962" t="inlineStr">
        <is>
          <t>VÄSTRA GÖTALANDS LÄN</t>
        </is>
      </c>
      <c r="E10962" t="inlineStr">
        <is>
          <t>GULLSPÅNG</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23181-2023</t>
        </is>
      </c>
      <c r="B10963" s="1" t="n">
        <v>45075</v>
      </c>
      <c r="C10963" s="1" t="n">
        <v>46011</v>
      </c>
      <c r="D10963" t="inlineStr">
        <is>
          <t>VÄSTRA GÖTALANDS LÄN</t>
        </is>
      </c>
      <c r="E10963" t="inlineStr">
        <is>
          <t>ALINGSÅS</t>
        </is>
      </c>
      <c r="G10963" t="n">
        <v>13.1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1379-2025</t>
        </is>
      </c>
      <c r="B10964" s="1" t="n">
        <v>45667.65357638889</v>
      </c>
      <c r="C10964" s="1" t="n">
        <v>46011</v>
      </c>
      <c r="D10964" t="inlineStr">
        <is>
          <t>VÄSTRA GÖTALANDS LÄN</t>
        </is>
      </c>
      <c r="E10964" t="inlineStr">
        <is>
          <t>GÖTENE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5757-2022</t>
        </is>
      </c>
      <c r="B10965" s="1" t="n">
        <v>44596.48284722222</v>
      </c>
      <c r="C10965" s="1" t="n">
        <v>46011</v>
      </c>
      <c r="D10965" t="inlineStr">
        <is>
          <t>VÄSTRA GÖTALANDS LÄN</t>
        </is>
      </c>
      <c r="E10965" t="inlineStr">
        <is>
          <t>ALINGSÅS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1442-2025</t>
        </is>
      </c>
      <c r="B10966" s="1" t="n">
        <v>45669.80903935185</v>
      </c>
      <c r="C10966" s="1" t="n">
        <v>46011</v>
      </c>
      <c r="D10966" t="inlineStr">
        <is>
          <t>VÄSTRA GÖTALANDS LÄN</t>
        </is>
      </c>
      <c r="E10966" t="inlineStr">
        <is>
          <t>TIDAHOLM</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5023-2024</t>
        </is>
      </c>
      <c r="B10967" s="1" t="n">
        <v>45329.75289351852</v>
      </c>
      <c r="C10967" s="1" t="n">
        <v>46011</v>
      </c>
      <c r="D10967" t="inlineStr">
        <is>
          <t>VÄSTRA GÖTALANDS LÄN</t>
        </is>
      </c>
      <c r="E10967" t="inlineStr">
        <is>
          <t>ALINGSÅS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62781-2023</t>
        </is>
      </c>
      <c r="B10968" s="1" t="n">
        <v>45268</v>
      </c>
      <c r="C10968" s="1" t="n">
        <v>46011</v>
      </c>
      <c r="D10968" t="inlineStr">
        <is>
          <t>VÄSTRA GÖTALANDS LÄN</t>
        </is>
      </c>
      <c r="E10968" t="inlineStr">
        <is>
          <t>TÖREBODA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19049-2021</t>
        </is>
      </c>
      <c r="B10969" s="1" t="n">
        <v>44308</v>
      </c>
      <c r="C10969" s="1" t="n">
        <v>46011</v>
      </c>
      <c r="D10969" t="inlineStr">
        <is>
          <t>VÄSTRA GÖTALANDS LÄN</t>
        </is>
      </c>
      <c r="E10969" t="inlineStr">
        <is>
          <t>TROLLHÄTTAN</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29707-2022</t>
        </is>
      </c>
      <c r="B10970" s="1" t="n">
        <v>44755.41650462963</v>
      </c>
      <c r="C10970" s="1" t="n">
        <v>46011</v>
      </c>
      <c r="D10970" t="inlineStr">
        <is>
          <t>VÄSTRA GÖTALANDS LÄN</t>
        </is>
      </c>
      <c r="E10970" t="inlineStr">
        <is>
          <t>MUNKEDAL</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14731-2022</t>
        </is>
      </c>
      <c r="B10971" s="1" t="n">
        <v>44656</v>
      </c>
      <c r="C10971" s="1" t="n">
        <v>46011</v>
      </c>
      <c r="D10971" t="inlineStr">
        <is>
          <t>VÄSTRA GÖTALANDS LÄN</t>
        </is>
      </c>
      <c r="E10971" t="inlineStr">
        <is>
          <t>ALE</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14761-2022</t>
        </is>
      </c>
      <c r="B10972" s="1" t="n">
        <v>44656.41122685185</v>
      </c>
      <c r="C10972" s="1" t="n">
        <v>46011</v>
      </c>
      <c r="D10972" t="inlineStr">
        <is>
          <t>VÄSTRA GÖTALANDS LÄN</t>
        </is>
      </c>
      <c r="E10972" t="inlineStr">
        <is>
          <t>TRANEMO</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26701-2024</t>
        </is>
      </c>
      <c r="B10973" s="1" t="n">
        <v>45469</v>
      </c>
      <c r="C10973" s="1" t="n">
        <v>46011</v>
      </c>
      <c r="D10973" t="inlineStr">
        <is>
          <t>VÄSTRA GÖTALANDS LÄN</t>
        </is>
      </c>
      <c r="E10973" t="inlineStr">
        <is>
          <t>TIDAHOLM</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60814-2024</t>
        </is>
      </c>
      <c r="B10974" s="1" t="n">
        <v>45644.61975694444</v>
      </c>
      <c r="C10974" s="1" t="n">
        <v>46011</v>
      </c>
      <c r="D10974" t="inlineStr">
        <is>
          <t>VÄSTRA GÖTALANDS LÄN</t>
        </is>
      </c>
      <c r="E10974" t="inlineStr">
        <is>
          <t>VÅRGÅRDA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60845-2024</t>
        </is>
      </c>
      <c r="B10975" s="1" t="n">
        <v>45644.65484953704</v>
      </c>
      <c r="C10975" s="1" t="n">
        <v>46011</v>
      </c>
      <c r="D10975" t="inlineStr">
        <is>
          <t>VÄSTRA GÖTALANDS LÄN</t>
        </is>
      </c>
      <c r="E10975" t="inlineStr">
        <is>
          <t>TRANEMO</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57429-2024</t>
        </is>
      </c>
      <c r="B10976" s="1" t="n">
        <v>45629.84033564815</v>
      </c>
      <c r="C10976" s="1" t="n">
        <v>46011</v>
      </c>
      <c r="D10976" t="inlineStr">
        <is>
          <t>VÄSTRA GÖTALANDS LÄN</t>
        </is>
      </c>
      <c r="E10976" t="inlineStr">
        <is>
          <t>BORÅS</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8546-2025</t>
        </is>
      </c>
      <c r="B10977" s="1" t="n">
        <v>45709.60895833333</v>
      </c>
      <c r="C10977" s="1" t="n">
        <v>46011</v>
      </c>
      <c r="D10977" t="inlineStr">
        <is>
          <t>VÄSTRA GÖTALANDS LÄN</t>
        </is>
      </c>
      <c r="E10977" t="inlineStr">
        <is>
          <t>MARK</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12985-2025</t>
        </is>
      </c>
      <c r="B10978" s="1" t="n">
        <v>45734.46896990741</v>
      </c>
      <c r="C10978" s="1" t="n">
        <v>46011</v>
      </c>
      <c r="D10978" t="inlineStr">
        <is>
          <t>VÄSTRA GÖTALANDS LÄN</t>
        </is>
      </c>
      <c r="E10978" t="inlineStr">
        <is>
          <t>TRANEMO</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44536-2024</t>
        </is>
      </c>
      <c r="B10979" s="1" t="n">
        <v>45574.45354166667</v>
      </c>
      <c r="C10979" s="1" t="n">
        <v>46011</v>
      </c>
      <c r="D10979" t="inlineStr">
        <is>
          <t>VÄSTRA GÖTALANDS LÄN</t>
        </is>
      </c>
      <c r="E10979" t="inlineStr">
        <is>
          <t>LYSEKIL</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13194-2022</t>
        </is>
      </c>
      <c r="B10980" s="1" t="n">
        <v>44644</v>
      </c>
      <c r="C10980" s="1" t="n">
        <v>46011</v>
      </c>
      <c r="D10980" t="inlineStr">
        <is>
          <t>VÄSTRA GÖTALANDS LÄN</t>
        </is>
      </c>
      <c r="E10980" t="inlineStr">
        <is>
          <t>VARA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3077-2022</t>
        </is>
      </c>
      <c r="B10981" s="1" t="n">
        <v>44582</v>
      </c>
      <c r="C10981" s="1" t="n">
        <v>46011</v>
      </c>
      <c r="D10981" t="inlineStr">
        <is>
          <t>VÄSTRA GÖTALANDS LÄN</t>
        </is>
      </c>
      <c r="E10981" t="inlineStr">
        <is>
          <t>UDDEVALLA</t>
        </is>
      </c>
      <c r="F10981" t="inlineStr">
        <is>
          <t>Kyrkan</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45149-2024</t>
        </is>
      </c>
      <c r="B10982" s="1" t="n">
        <v>45575.64230324074</v>
      </c>
      <c r="C10982" s="1" t="n">
        <v>46011</v>
      </c>
      <c r="D10982" t="inlineStr">
        <is>
          <t>VÄSTRA GÖTALANDS LÄN</t>
        </is>
      </c>
      <c r="E10982" t="inlineStr">
        <is>
          <t>UDDEVALLA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45165-2024</t>
        </is>
      </c>
      <c r="B10983" s="1" t="n">
        <v>45575.65310185185</v>
      </c>
      <c r="C10983" s="1" t="n">
        <v>46011</v>
      </c>
      <c r="D10983" t="inlineStr">
        <is>
          <t>VÄSTRA GÖTALANDS LÄN</t>
        </is>
      </c>
      <c r="E10983" t="inlineStr">
        <is>
          <t>MUNKEDAL</t>
        </is>
      </c>
      <c r="F10983" t="inlineStr">
        <is>
          <t>Naturvårdsverket</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44233-2023</t>
        </is>
      </c>
      <c r="B10984" s="1" t="n">
        <v>45183</v>
      </c>
      <c r="C10984" s="1" t="n">
        <v>46011</v>
      </c>
      <c r="D10984" t="inlineStr">
        <is>
          <t>VÄSTRA GÖTALANDS LÄN</t>
        </is>
      </c>
      <c r="E10984" t="inlineStr">
        <is>
          <t>ORUST</t>
        </is>
      </c>
      <c r="G10984" t="n">
        <v>3.1</v>
      </c>
      <c r="H10984" t="n">
        <v>0</v>
      </c>
      <c r="I10984" t="n">
        <v>0</v>
      </c>
      <c r="J10984" t="n">
        <v>0</v>
      </c>
      <c r="K10984" t="n">
        <v>0</v>
      </c>
      <c r="L10984" t="n">
        <v>0</v>
      </c>
      <c r="M10984" t="n">
        <v>0</v>
      </c>
      <c r="N10984" t="n">
        <v>0</v>
      </c>
      <c r="O10984" t="n">
        <v>0</v>
      </c>
      <c r="P10984" t="n">
        <v>0</v>
      </c>
      <c r="Q10984" t="n">
        <v>0</v>
      </c>
      <c r="R10984" s="2" t="inlineStr"/>
      <c r="U10984">
        <f>HYPERLINK("https://klasma.github.io/Logging_1421/knärot/A 44233-2023 karta knärot.png", "A 44233-2023")</f>
        <v/>
      </c>
      <c r="V10984">
        <f>HYPERLINK("https://klasma.github.io/Logging_1421/klagomål/A 44233-2023 FSC-klagomål.docx", "A 44233-2023")</f>
        <v/>
      </c>
      <c r="W10984">
        <f>HYPERLINK("https://klasma.github.io/Logging_1421/klagomålsmail/A 44233-2023 FSC-klagomål mail.docx", "A 44233-2023")</f>
        <v/>
      </c>
      <c r="X10984">
        <f>HYPERLINK("https://klasma.github.io/Logging_1421/tillsyn/A 44233-2023 tillsynsbegäran.docx", "A 44233-2023")</f>
        <v/>
      </c>
      <c r="Y10984">
        <f>HYPERLINK("https://klasma.github.io/Logging_1421/tillsynsmail/A 44233-2023 tillsynsbegäran mail.docx", "A 44233-2023")</f>
        <v/>
      </c>
    </row>
    <row r="10985" ht="15" customHeight="1">
      <c r="A10985" t="inlineStr">
        <is>
          <t>A 5437-2022</t>
        </is>
      </c>
      <c r="B10985" s="1" t="n">
        <v>44595.42708333334</v>
      </c>
      <c r="C10985" s="1" t="n">
        <v>46011</v>
      </c>
      <c r="D10985" t="inlineStr">
        <is>
          <t>VÄSTRA GÖTALANDS LÄN</t>
        </is>
      </c>
      <c r="E10985" t="inlineStr">
        <is>
          <t>FÄRGELANDA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44249-2023</t>
        </is>
      </c>
      <c r="B10986" s="1" t="n">
        <v>45188</v>
      </c>
      <c r="C10986" s="1" t="n">
        <v>46011</v>
      </c>
      <c r="D10986" t="inlineStr">
        <is>
          <t>VÄSTRA GÖTALANDS LÄN</t>
        </is>
      </c>
      <c r="E10986" t="inlineStr">
        <is>
          <t>MARK</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2306-2022</t>
        </is>
      </c>
      <c r="B10987" s="1" t="n">
        <v>44578</v>
      </c>
      <c r="C10987" s="1" t="n">
        <v>46011</v>
      </c>
      <c r="D10987" t="inlineStr">
        <is>
          <t>VÄSTRA GÖTALANDS LÄN</t>
        </is>
      </c>
      <c r="E10987" t="inlineStr">
        <is>
          <t>UDDEVALLA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55364-2024</t>
        </is>
      </c>
      <c r="B10988" s="1" t="n">
        <v>45621.85106481481</v>
      </c>
      <c r="C10988" s="1" t="n">
        <v>46011</v>
      </c>
      <c r="D10988" t="inlineStr">
        <is>
          <t>VÄSTRA GÖTALANDS LÄN</t>
        </is>
      </c>
      <c r="E10988" t="inlineStr">
        <is>
          <t>ULRICEHAMN</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15947-2022</t>
        </is>
      </c>
      <c r="B10989" s="1" t="n">
        <v>44664.68390046297</v>
      </c>
      <c r="C10989" s="1" t="n">
        <v>46011</v>
      </c>
      <c r="D10989" t="inlineStr">
        <is>
          <t>VÄSTRA GÖTALANDS LÄN</t>
        </is>
      </c>
      <c r="E10989" t="inlineStr">
        <is>
          <t>TÖREBODA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13953-2023</t>
        </is>
      </c>
      <c r="B10990" s="1" t="n">
        <v>45008.46489583333</v>
      </c>
      <c r="C10990" s="1" t="n">
        <v>46011</v>
      </c>
      <c r="D10990" t="inlineStr">
        <is>
          <t>VÄSTRA GÖTALANDS LÄN</t>
        </is>
      </c>
      <c r="E10990" t="inlineStr">
        <is>
          <t>BENGTSFORS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68161-2021</t>
        </is>
      </c>
      <c r="B10991" s="1" t="n">
        <v>44526.45810185185</v>
      </c>
      <c r="C10991" s="1" t="n">
        <v>46011</v>
      </c>
      <c r="D10991" t="inlineStr">
        <is>
          <t>VÄSTRA GÖTALANDS LÄN</t>
        </is>
      </c>
      <c r="E10991" t="inlineStr">
        <is>
          <t>TANUM</t>
        </is>
      </c>
      <c r="G10991" t="n">
        <v>10.3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22434-2024</t>
        </is>
      </c>
      <c r="B10992" s="1" t="n">
        <v>45446.79673611111</v>
      </c>
      <c r="C10992" s="1" t="n">
        <v>46011</v>
      </c>
      <c r="D10992" t="inlineStr">
        <is>
          <t>VÄSTRA GÖTALANDS LÄN</t>
        </is>
      </c>
      <c r="E10992" t="inlineStr">
        <is>
          <t>TANUM</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45313-2023</t>
        </is>
      </c>
      <c r="B10993" s="1" t="n">
        <v>45191.71241898148</v>
      </c>
      <c r="C10993" s="1" t="n">
        <v>46011</v>
      </c>
      <c r="D10993" t="inlineStr">
        <is>
          <t>VÄSTRA GÖTALANDS LÄN</t>
        </is>
      </c>
      <c r="E10993" t="inlineStr">
        <is>
          <t>ÅMÅL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39297-2022</t>
        </is>
      </c>
      <c r="B10994" s="1" t="n">
        <v>44817.66766203703</v>
      </c>
      <c r="C10994" s="1" t="n">
        <v>46011</v>
      </c>
      <c r="D10994" t="inlineStr">
        <is>
          <t>VÄSTRA GÖTALANDS LÄN</t>
        </is>
      </c>
      <c r="E10994" t="inlineStr">
        <is>
          <t>TIDAHOLM</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20439-2024</t>
        </is>
      </c>
      <c r="B10995" s="1" t="n">
        <v>45435</v>
      </c>
      <c r="C10995" s="1" t="n">
        <v>46011</v>
      </c>
      <c r="D10995" t="inlineStr">
        <is>
          <t>VÄSTRA GÖTALANDS LÄN</t>
        </is>
      </c>
      <c r="E10995" t="inlineStr">
        <is>
          <t>VARA</t>
        </is>
      </c>
      <c r="G10995" t="n">
        <v>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20461-2024</t>
        </is>
      </c>
      <c r="B10996" s="1" t="n">
        <v>45435.65636574074</v>
      </c>
      <c r="C10996" s="1" t="n">
        <v>46011</v>
      </c>
      <c r="D10996" t="inlineStr">
        <is>
          <t>VÄSTRA GÖTALANDS LÄN</t>
        </is>
      </c>
      <c r="E10996" t="inlineStr">
        <is>
          <t>VARA</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57779-2024</t>
        </is>
      </c>
      <c r="B10997" s="1" t="n">
        <v>45631.27377314815</v>
      </c>
      <c r="C10997" s="1" t="n">
        <v>46011</v>
      </c>
      <c r="D10997" t="inlineStr">
        <is>
          <t>VÄSTRA GÖTALANDS LÄN</t>
        </is>
      </c>
      <c r="E10997" t="inlineStr">
        <is>
          <t>MARK</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50692-2023</t>
        </is>
      </c>
      <c r="B10998" s="1" t="n">
        <v>45217.54106481482</v>
      </c>
      <c r="C10998" s="1" t="n">
        <v>46011</v>
      </c>
      <c r="D10998" t="inlineStr">
        <is>
          <t>VÄSTRA GÖTALANDS LÄN</t>
        </is>
      </c>
      <c r="E10998" t="inlineStr">
        <is>
          <t>BORÅS</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51723-2024</t>
        </is>
      </c>
      <c r="B10999" s="1" t="n">
        <v>45607.38168981481</v>
      </c>
      <c r="C10999" s="1" t="n">
        <v>46011</v>
      </c>
      <c r="D10999" t="inlineStr">
        <is>
          <t>VÄSTRA GÖTALANDS LÄN</t>
        </is>
      </c>
      <c r="E10999" t="inlineStr">
        <is>
          <t>ULRICEHAMN</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16830-2023</t>
        </is>
      </c>
      <c r="B11000" s="1" t="n">
        <v>45029</v>
      </c>
      <c r="C11000" s="1" t="n">
        <v>46011</v>
      </c>
      <c r="D11000" t="inlineStr">
        <is>
          <t>VÄSTRA GÖTALANDS LÄN</t>
        </is>
      </c>
      <c r="E11000" t="inlineStr">
        <is>
          <t>ÅMÅL</t>
        </is>
      </c>
      <c r="F11000" t="inlineStr">
        <is>
          <t>Bergvik skog väst AB</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49687-2024</t>
        </is>
      </c>
      <c r="B11001" s="1" t="n">
        <v>45596.67886574074</v>
      </c>
      <c r="C11001" s="1" t="n">
        <v>46011</v>
      </c>
      <c r="D11001" t="inlineStr">
        <is>
          <t>VÄSTRA GÖTALANDS LÄN</t>
        </is>
      </c>
      <c r="E11001" t="inlineStr">
        <is>
          <t>TANUM</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49736-2024</t>
        </is>
      </c>
      <c r="B11002" s="1" t="n">
        <v>45596.86271990741</v>
      </c>
      <c r="C11002" s="1" t="n">
        <v>46011</v>
      </c>
      <c r="D11002" t="inlineStr">
        <is>
          <t>VÄSTRA GÖTALANDS LÄN</t>
        </is>
      </c>
      <c r="E11002" t="inlineStr">
        <is>
          <t>VARA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39997-2023</t>
        </is>
      </c>
      <c r="B11003" s="1" t="n">
        <v>45168.61142361111</v>
      </c>
      <c r="C11003" s="1" t="n">
        <v>46011</v>
      </c>
      <c r="D11003" t="inlineStr">
        <is>
          <t>VÄSTRA GÖTALANDS LÄN</t>
        </is>
      </c>
      <c r="E11003" t="inlineStr">
        <is>
          <t>FALKÖPING</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38639-2023</t>
        </is>
      </c>
      <c r="B11004" s="1" t="n">
        <v>45162</v>
      </c>
      <c r="C11004" s="1" t="n">
        <v>46011</v>
      </c>
      <c r="D11004" t="inlineStr">
        <is>
          <t>VÄSTRA GÖTALANDS LÄN</t>
        </is>
      </c>
      <c r="E11004" t="inlineStr">
        <is>
          <t>ULRICEHAMN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40048-2023</t>
        </is>
      </c>
      <c r="B11005" s="1" t="n">
        <v>45168.69461805555</v>
      </c>
      <c r="C11005" s="1" t="n">
        <v>46011</v>
      </c>
      <c r="D11005" t="inlineStr">
        <is>
          <t>VÄSTRA GÖTALANDS LÄN</t>
        </is>
      </c>
      <c r="E11005" t="inlineStr">
        <is>
          <t>TANUM</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43063-2024</t>
        </is>
      </c>
      <c r="B11006" s="1" t="n">
        <v>45567.46769675926</v>
      </c>
      <c r="C11006" s="1" t="n">
        <v>46011</v>
      </c>
      <c r="D11006" t="inlineStr">
        <is>
          <t>VÄSTRA GÖTALANDS LÄN</t>
        </is>
      </c>
      <c r="E11006" t="inlineStr">
        <is>
          <t>HERRLJUNGA</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43067-2024</t>
        </is>
      </c>
      <c r="B11007" s="1" t="n">
        <v>45567.47446759259</v>
      </c>
      <c r="C11007" s="1" t="n">
        <v>46011</v>
      </c>
      <c r="D11007" t="inlineStr">
        <is>
          <t>VÄSTRA GÖTALANDS LÄN</t>
        </is>
      </c>
      <c r="E11007" t="inlineStr">
        <is>
          <t>MÖLNDAL</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40027-2024</t>
        </is>
      </c>
      <c r="B11008" s="1" t="n">
        <v>45553.68471064815</v>
      </c>
      <c r="C11008" s="1" t="n">
        <v>46011</v>
      </c>
      <c r="D11008" t="inlineStr">
        <is>
          <t>VÄSTRA GÖTALANDS LÄN</t>
        </is>
      </c>
      <c r="E11008" t="inlineStr">
        <is>
          <t>UDDEVALLA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20891-2023</t>
        </is>
      </c>
      <c r="B11009" s="1" t="n">
        <v>45059</v>
      </c>
      <c r="C11009" s="1" t="n">
        <v>46011</v>
      </c>
      <c r="D11009" t="inlineStr">
        <is>
          <t>VÄSTRA GÖTALANDS LÄN</t>
        </is>
      </c>
      <c r="E11009" t="inlineStr">
        <is>
          <t>ULRICEHAMN</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20891-2023</t>
        </is>
      </c>
      <c r="B11010" s="1" t="n">
        <v>45059</v>
      </c>
      <c r="C11010" s="1" t="n">
        <v>46011</v>
      </c>
      <c r="D11010" t="inlineStr">
        <is>
          <t>VÄSTRA GÖTALANDS LÄN</t>
        </is>
      </c>
      <c r="E11010" t="inlineStr">
        <is>
          <t>ULRICEHAMN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55356-2024</t>
        </is>
      </c>
      <c r="B11011" s="1" t="n">
        <v>45621.80996527777</v>
      </c>
      <c r="C11011" s="1" t="n">
        <v>46011</v>
      </c>
      <c r="D11011" t="inlineStr">
        <is>
          <t>VÄSTRA GÖTALANDS LÄN</t>
        </is>
      </c>
      <c r="E11011" t="inlineStr">
        <is>
          <t>VARA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57573-2024</t>
        </is>
      </c>
      <c r="B11012" s="1" t="n">
        <v>45630.46780092592</v>
      </c>
      <c r="C11012" s="1" t="n">
        <v>46011</v>
      </c>
      <c r="D11012" t="inlineStr">
        <is>
          <t>VÄSTRA GÖTALANDS LÄN</t>
        </is>
      </c>
      <c r="E11012" t="inlineStr">
        <is>
          <t>TIDAHOLM</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47264-2024</t>
        </is>
      </c>
      <c r="B11013" s="1" t="n">
        <v>45586.8034837963</v>
      </c>
      <c r="C11013" s="1" t="n">
        <v>46011</v>
      </c>
      <c r="D11013" t="inlineStr">
        <is>
          <t>VÄSTRA GÖTALANDS LÄN</t>
        </is>
      </c>
      <c r="E11013" t="inlineStr">
        <is>
          <t>BOLLEBYGD</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57592-2024</t>
        </is>
      </c>
      <c r="B11014" s="1" t="n">
        <v>45630</v>
      </c>
      <c r="C11014" s="1" t="n">
        <v>46011</v>
      </c>
      <c r="D11014" t="inlineStr">
        <is>
          <t>VÄSTRA GÖTALANDS LÄN</t>
        </is>
      </c>
      <c r="E11014" t="inlineStr">
        <is>
          <t>BORÅS</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33140-2023</t>
        </is>
      </c>
      <c r="B11015" s="1" t="n">
        <v>45126</v>
      </c>
      <c r="C11015" s="1" t="n">
        <v>46011</v>
      </c>
      <c r="D11015" t="inlineStr">
        <is>
          <t>VÄSTRA GÖTALANDS LÄN</t>
        </is>
      </c>
      <c r="E11015" t="inlineStr">
        <is>
          <t>BORÅS</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57629-2024</t>
        </is>
      </c>
      <c r="B11016" s="1" t="n">
        <v>45630.5583912037</v>
      </c>
      <c r="C11016" s="1" t="n">
        <v>46011</v>
      </c>
      <c r="D11016" t="inlineStr">
        <is>
          <t>VÄSTRA GÖTALANDS LÄN</t>
        </is>
      </c>
      <c r="E11016" t="inlineStr">
        <is>
          <t>TANUM</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17680-2023</t>
        </is>
      </c>
      <c r="B11017" s="1" t="n">
        <v>45035</v>
      </c>
      <c r="C11017" s="1" t="n">
        <v>46011</v>
      </c>
      <c r="D11017" t="inlineStr">
        <is>
          <t>VÄSTRA GÖTALANDS LÄN</t>
        </is>
      </c>
      <c r="E11017" t="inlineStr">
        <is>
          <t>TANUM</t>
        </is>
      </c>
      <c r="F11017" t="inlineStr">
        <is>
          <t>Kyrkan</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69341-2021</t>
        </is>
      </c>
      <c r="B11018" s="1" t="n">
        <v>44531</v>
      </c>
      <c r="C11018" s="1" t="n">
        <v>46011</v>
      </c>
      <c r="D11018" t="inlineStr">
        <is>
          <t>VÄSTRA GÖTALANDS LÄN</t>
        </is>
      </c>
      <c r="E11018" t="inlineStr">
        <is>
          <t>KARLSBORG</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73358-2021</t>
        </is>
      </c>
      <c r="B11019" s="1" t="n">
        <v>44551.40778935186</v>
      </c>
      <c r="C11019" s="1" t="n">
        <v>46011</v>
      </c>
      <c r="D11019" t="inlineStr">
        <is>
          <t>VÄSTRA GÖTALANDS LÄN</t>
        </is>
      </c>
      <c r="E11019" t="inlineStr">
        <is>
          <t>HERRLJUNGA</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59468-2024</t>
        </is>
      </c>
      <c r="B11020" s="1" t="n">
        <v>45638.49222222222</v>
      </c>
      <c r="C11020" s="1" t="n">
        <v>46011</v>
      </c>
      <c r="D11020" t="inlineStr">
        <is>
          <t>VÄSTRA GÖTALANDS LÄN</t>
        </is>
      </c>
      <c r="E11020" t="inlineStr">
        <is>
          <t>BENGTSFORS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48297-2024</t>
        </is>
      </c>
      <c r="B11021" s="1" t="n">
        <v>45590.4659837963</v>
      </c>
      <c r="C11021" s="1" t="n">
        <v>46011</v>
      </c>
      <c r="D11021" t="inlineStr">
        <is>
          <t>VÄSTRA GÖTALANDS LÄN</t>
        </is>
      </c>
      <c r="E11021" t="inlineStr">
        <is>
          <t>MARIESTAD</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48301-2024</t>
        </is>
      </c>
      <c r="B11022" s="1" t="n">
        <v>45590.47016203704</v>
      </c>
      <c r="C11022" s="1" t="n">
        <v>46011</v>
      </c>
      <c r="D11022" t="inlineStr">
        <is>
          <t>VÄSTRA GÖTALANDS LÄN</t>
        </is>
      </c>
      <c r="E11022" t="inlineStr">
        <is>
          <t>LIDKÖPING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30399-2023</t>
        </is>
      </c>
      <c r="B11023" s="1" t="n">
        <v>45111.474375</v>
      </c>
      <c r="C11023" s="1" t="n">
        <v>46011</v>
      </c>
      <c r="D11023" t="inlineStr">
        <is>
          <t>VÄSTRA GÖTALANDS LÄN</t>
        </is>
      </c>
      <c r="E11023" t="inlineStr">
        <is>
          <t>LIDKÖPING</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61181-2024</t>
        </is>
      </c>
      <c r="B11024" s="1" t="n">
        <v>45645</v>
      </c>
      <c r="C11024" s="1" t="n">
        <v>46011</v>
      </c>
      <c r="D11024" t="inlineStr">
        <is>
          <t>VÄSTRA GÖTALANDS LÄN</t>
        </is>
      </c>
      <c r="E11024" t="inlineStr">
        <is>
          <t>FALKÖPING</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3172-2022</t>
        </is>
      </c>
      <c r="B11025" s="1" t="n">
        <v>44582.60462962963</v>
      </c>
      <c r="C11025" s="1" t="n">
        <v>46011</v>
      </c>
      <c r="D11025" t="inlineStr">
        <is>
          <t>VÄSTRA GÖTALANDS LÄN</t>
        </is>
      </c>
      <c r="E11025" t="inlineStr">
        <is>
          <t>ALINGSÅS</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73273-2021</t>
        </is>
      </c>
      <c r="B11026" s="1" t="n">
        <v>44550.92103009259</v>
      </c>
      <c r="C11026" s="1" t="n">
        <v>46011</v>
      </c>
      <c r="D11026" t="inlineStr">
        <is>
          <t>VÄSTRA GÖTALANDS LÄN</t>
        </is>
      </c>
      <c r="E11026" t="inlineStr">
        <is>
          <t>ÅMÅL</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37917-2023</t>
        </is>
      </c>
      <c r="B11027" s="1" t="n">
        <v>45160.48486111111</v>
      </c>
      <c r="C11027" s="1" t="n">
        <v>46011</v>
      </c>
      <c r="D11027" t="inlineStr">
        <is>
          <t>VÄSTRA GÖTALANDS LÄN</t>
        </is>
      </c>
      <c r="E11027" t="inlineStr">
        <is>
          <t>VARA</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46118-2023</t>
        </is>
      </c>
      <c r="B11028" s="1" t="n">
        <v>45196.55233796296</v>
      </c>
      <c r="C11028" s="1" t="n">
        <v>46011</v>
      </c>
      <c r="D11028" t="inlineStr">
        <is>
          <t>VÄSTRA GÖTALANDS LÄN</t>
        </is>
      </c>
      <c r="E11028" t="inlineStr">
        <is>
          <t>TANUM</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46134-2023</t>
        </is>
      </c>
      <c r="B11029" s="1" t="n">
        <v>45196</v>
      </c>
      <c r="C11029" s="1" t="n">
        <v>46011</v>
      </c>
      <c r="D11029" t="inlineStr">
        <is>
          <t>VÄSTRA GÖTALANDS LÄN</t>
        </is>
      </c>
      <c r="E11029" t="inlineStr">
        <is>
          <t>BORÅS</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46137-2023</t>
        </is>
      </c>
      <c r="B11030" s="1" t="n">
        <v>45196.56315972222</v>
      </c>
      <c r="C11030" s="1" t="n">
        <v>46011</v>
      </c>
      <c r="D11030" t="inlineStr">
        <is>
          <t>VÄSTRA GÖTALANDS LÄN</t>
        </is>
      </c>
      <c r="E11030" t="inlineStr">
        <is>
          <t>VARA</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4143-2022</t>
        </is>
      </c>
      <c r="B11031" s="1" t="n">
        <v>44588.48253472222</v>
      </c>
      <c r="C11031" s="1" t="n">
        <v>46011</v>
      </c>
      <c r="D11031" t="inlineStr">
        <is>
          <t>VÄSTRA GÖTALANDS LÄN</t>
        </is>
      </c>
      <c r="E11031" t="inlineStr">
        <is>
          <t>MARK</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70328-2021</t>
        </is>
      </c>
      <c r="B11032" s="1" t="n">
        <v>44536.46303240741</v>
      </c>
      <c r="C11032" s="1" t="n">
        <v>46011</v>
      </c>
      <c r="D11032" t="inlineStr">
        <is>
          <t>VÄSTRA GÖTALANDS LÄN</t>
        </is>
      </c>
      <c r="E11032" t="inlineStr">
        <is>
          <t>ÅMÅL</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43709-2024</t>
        </is>
      </c>
      <c r="B11033" s="1" t="n">
        <v>45569</v>
      </c>
      <c r="C11033" s="1" t="n">
        <v>46011</v>
      </c>
      <c r="D11033" t="inlineStr">
        <is>
          <t>VÄSTRA GÖTALANDS LÄN</t>
        </is>
      </c>
      <c r="E11033" t="inlineStr">
        <is>
          <t>KARLSBORG</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58855-2024</t>
        </is>
      </c>
      <c r="B11034" s="1" t="n">
        <v>45636.39221064815</v>
      </c>
      <c r="C11034" s="1" t="n">
        <v>46011</v>
      </c>
      <c r="D11034" t="inlineStr">
        <is>
          <t>VÄSTRA GÖTALANDS LÄN</t>
        </is>
      </c>
      <c r="E11034" t="inlineStr">
        <is>
          <t>DALS-ED</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44478-2023</t>
        </is>
      </c>
      <c r="B11035" s="1" t="n">
        <v>45189.42894675926</v>
      </c>
      <c r="C11035" s="1" t="n">
        <v>46011</v>
      </c>
      <c r="D11035" t="inlineStr">
        <is>
          <t>VÄSTRA GÖTALANDS LÄN</t>
        </is>
      </c>
      <c r="E11035" t="inlineStr">
        <is>
          <t>MUNKEDAL</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10655-2022</t>
        </is>
      </c>
      <c r="B11036" s="1" t="n">
        <v>44624</v>
      </c>
      <c r="C11036" s="1" t="n">
        <v>46011</v>
      </c>
      <c r="D11036" t="inlineStr">
        <is>
          <t>VÄSTRA GÖTALANDS LÄN</t>
        </is>
      </c>
      <c r="E11036" t="inlineStr">
        <is>
          <t>KUNGÄLV</t>
        </is>
      </c>
      <c r="G11036" t="n">
        <v>13.3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72806-2021</t>
        </is>
      </c>
      <c r="B11037" s="1" t="n">
        <v>44547.38486111111</v>
      </c>
      <c r="C11037" s="1" t="n">
        <v>46011</v>
      </c>
      <c r="D11037" t="inlineStr">
        <is>
          <t>VÄSTRA GÖTALANDS LÄN</t>
        </is>
      </c>
      <c r="E11037" t="inlineStr">
        <is>
          <t>BORÅS</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60465-2024</t>
        </is>
      </c>
      <c r="B11038" s="1" t="n">
        <v>45643.61819444445</v>
      </c>
      <c r="C11038" s="1" t="n">
        <v>46011</v>
      </c>
      <c r="D11038" t="inlineStr">
        <is>
          <t>VÄSTRA GÖTALANDS LÄN</t>
        </is>
      </c>
      <c r="E11038" t="inlineStr">
        <is>
          <t>LIDKÖPING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32186-2024</t>
        </is>
      </c>
      <c r="B11039" s="1" t="n">
        <v>45511.64774305555</v>
      </c>
      <c r="C11039" s="1" t="n">
        <v>46011</v>
      </c>
      <c r="D11039" t="inlineStr">
        <is>
          <t>VÄSTRA GÖTALANDS LÄN</t>
        </is>
      </c>
      <c r="E11039" t="inlineStr">
        <is>
          <t>FALKÖPING</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828-2025</t>
        </is>
      </c>
      <c r="B11040" s="1" t="n">
        <v>45665.57445601852</v>
      </c>
      <c r="C11040" s="1" t="n">
        <v>46011</v>
      </c>
      <c r="D11040" t="inlineStr">
        <is>
          <t>VÄSTRA GÖTALANDS LÄN</t>
        </is>
      </c>
      <c r="E11040" t="inlineStr">
        <is>
          <t>TRANEMO</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54181-2024</t>
        </is>
      </c>
      <c r="B11041" s="1" t="n">
        <v>45616.63821759259</v>
      </c>
      <c r="C11041" s="1" t="n">
        <v>46011</v>
      </c>
      <c r="D11041" t="inlineStr">
        <is>
          <t>VÄSTRA GÖTALANDS LÄN</t>
        </is>
      </c>
      <c r="E11041" t="inlineStr">
        <is>
          <t>ÅMÅL</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25322-2024</t>
        </is>
      </c>
      <c r="B11042" s="1" t="n">
        <v>45462.77667824074</v>
      </c>
      <c r="C11042" s="1" t="n">
        <v>46011</v>
      </c>
      <c r="D11042" t="inlineStr">
        <is>
          <t>VÄSTRA GÖTALANDS LÄN</t>
        </is>
      </c>
      <c r="E11042" t="inlineStr">
        <is>
          <t>LIDKÖPING</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17445-2025</t>
        </is>
      </c>
      <c r="B11043" s="1" t="n">
        <v>45757.43902777778</v>
      </c>
      <c r="C11043" s="1" t="n">
        <v>46011</v>
      </c>
      <c r="D11043" t="inlineStr">
        <is>
          <t>VÄSTRA GÖTALANDS LÄN</t>
        </is>
      </c>
      <c r="E11043" t="inlineStr">
        <is>
          <t>FALKÖPING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17451-2025</t>
        </is>
      </c>
      <c r="B11044" s="1" t="n">
        <v>45757.44825231482</v>
      </c>
      <c r="C11044" s="1" t="n">
        <v>46011</v>
      </c>
      <c r="D11044" t="inlineStr">
        <is>
          <t>VÄSTRA GÖTALANDS LÄN</t>
        </is>
      </c>
      <c r="E11044" t="inlineStr">
        <is>
          <t>KUNGÄLV</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17455-2025</t>
        </is>
      </c>
      <c r="B11045" s="1" t="n">
        <v>45757.45109953704</v>
      </c>
      <c r="C11045" s="1" t="n">
        <v>46011</v>
      </c>
      <c r="D11045" t="inlineStr">
        <is>
          <t>VÄSTRA GÖTALANDS LÄN</t>
        </is>
      </c>
      <c r="E11045" t="inlineStr">
        <is>
          <t>KUNGÄLV</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57799-2024</t>
        </is>
      </c>
      <c r="B11046" s="1" t="n">
        <v>45631.34453703704</v>
      </c>
      <c r="C11046" s="1" t="n">
        <v>46011</v>
      </c>
      <c r="D11046" t="inlineStr">
        <is>
          <t>VÄSTRA GÖTALANDS LÄN</t>
        </is>
      </c>
      <c r="E11046" t="inlineStr">
        <is>
          <t>MARK</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2298-2022</t>
        </is>
      </c>
      <c r="B11047" s="1" t="n">
        <v>44578.70068287037</v>
      </c>
      <c r="C11047" s="1" t="n">
        <v>46011</v>
      </c>
      <c r="D11047" t="inlineStr">
        <is>
          <t>VÄSTRA GÖTALANDS LÄN</t>
        </is>
      </c>
      <c r="E11047" t="inlineStr">
        <is>
          <t>BENGTSFORS</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25223-2023</t>
        </is>
      </c>
      <c r="B11048" s="1" t="n">
        <v>45086</v>
      </c>
      <c r="C11048" s="1" t="n">
        <v>46011</v>
      </c>
      <c r="D11048" t="inlineStr">
        <is>
          <t>VÄSTRA GÖTALANDS LÄN</t>
        </is>
      </c>
      <c r="E11048" t="inlineStr">
        <is>
          <t>FÄRGELANDA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9337-2025</t>
        </is>
      </c>
      <c r="B11049" s="1" t="n">
        <v>45714</v>
      </c>
      <c r="C11049" s="1" t="n">
        <v>46011</v>
      </c>
      <c r="D11049" t="inlineStr">
        <is>
          <t>VÄSTRA GÖTALANDS LÄN</t>
        </is>
      </c>
      <c r="E11049" t="inlineStr">
        <is>
          <t>KARLSBORG</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1286-2022</t>
        </is>
      </c>
      <c r="B11050" s="1" t="n">
        <v>44572.67575231481</v>
      </c>
      <c r="C11050" s="1" t="n">
        <v>46011</v>
      </c>
      <c r="D11050" t="inlineStr">
        <is>
          <t>VÄSTRA GÖTALANDS LÄN</t>
        </is>
      </c>
      <c r="E11050" t="inlineStr">
        <is>
          <t>BENGTSFORS</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1315-2022</t>
        </is>
      </c>
      <c r="B11051" s="1" t="n">
        <v>44572.73582175926</v>
      </c>
      <c r="C11051" s="1" t="n">
        <v>46011</v>
      </c>
      <c r="D11051" t="inlineStr">
        <is>
          <t>VÄSTRA GÖTALANDS LÄN</t>
        </is>
      </c>
      <c r="E11051" t="inlineStr">
        <is>
          <t>BENGTSFORS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13876-2023</t>
        </is>
      </c>
      <c r="B11052" s="1" t="n">
        <v>45007.71679398148</v>
      </c>
      <c r="C11052" s="1" t="n">
        <v>46011</v>
      </c>
      <c r="D11052" t="inlineStr">
        <is>
          <t>VÄSTRA GÖTALANDS LÄN</t>
        </is>
      </c>
      <c r="E11052" t="inlineStr">
        <is>
          <t>ESSUNGA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47265-2024</t>
        </is>
      </c>
      <c r="B11053" s="1" t="n">
        <v>45586.80979166667</v>
      </c>
      <c r="C11053" s="1" t="n">
        <v>46011</v>
      </c>
      <c r="D11053" t="inlineStr">
        <is>
          <t>VÄSTRA GÖTALANDS LÄN</t>
        </is>
      </c>
      <c r="E11053" t="inlineStr">
        <is>
          <t>BOLLEBYGD</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49574-2024</t>
        </is>
      </c>
      <c r="B11054" s="1" t="n">
        <v>45596.51541666667</v>
      </c>
      <c r="C11054" s="1" t="n">
        <v>46011</v>
      </c>
      <c r="D11054" t="inlineStr">
        <is>
          <t>VÄSTRA GÖTALANDS LÄN</t>
        </is>
      </c>
      <c r="E11054" t="inlineStr">
        <is>
          <t>MUNKEDAL</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49576-2024</t>
        </is>
      </c>
      <c r="B11055" s="1" t="n">
        <v>45596.52245370371</v>
      </c>
      <c r="C11055" s="1" t="n">
        <v>46011</v>
      </c>
      <c r="D11055" t="inlineStr">
        <is>
          <t>VÄSTRA GÖTALANDS LÄN</t>
        </is>
      </c>
      <c r="E11055" t="inlineStr">
        <is>
          <t>MUNKEDAL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6140-2024</t>
        </is>
      </c>
      <c r="B11056" s="1" t="n">
        <v>45337</v>
      </c>
      <c r="C11056" s="1" t="n">
        <v>46011</v>
      </c>
      <c r="D11056" t="inlineStr">
        <is>
          <t>VÄSTRA GÖTALANDS LÄN</t>
        </is>
      </c>
      <c r="E11056" t="inlineStr">
        <is>
          <t>VÄNERSBORG</t>
        </is>
      </c>
      <c r="G11056" t="n">
        <v>12.8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35202-2023</t>
        </is>
      </c>
      <c r="B11057" s="1" t="n">
        <v>45145</v>
      </c>
      <c r="C11057" s="1" t="n">
        <v>46011</v>
      </c>
      <c r="D11057" t="inlineStr">
        <is>
          <t>VÄSTRA GÖTALANDS LÄN</t>
        </is>
      </c>
      <c r="E11057" t="inlineStr">
        <is>
          <t>LIDKÖPING</t>
        </is>
      </c>
      <c r="G11057" t="n">
        <v>11.1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35239-2023</t>
        </is>
      </c>
      <c r="B11058" s="1" t="n">
        <v>45145.74783564815</v>
      </c>
      <c r="C11058" s="1" t="n">
        <v>46011</v>
      </c>
      <c r="D11058" t="inlineStr">
        <is>
          <t>VÄSTRA GÖTALANDS LÄN</t>
        </is>
      </c>
      <c r="E11058" t="inlineStr">
        <is>
          <t>TÖREBODA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4666-2024</t>
        </is>
      </c>
      <c r="B11059" s="1" t="n">
        <v>45328</v>
      </c>
      <c r="C11059" s="1" t="n">
        <v>46011</v>
      </c>
      <c r="D11059" t="inlineStr">
        <is>
          <t>VÄSTRA GÖTALANDS LÄN</t>
        </is>
      </c>
      <c r="E11059" t="inlineStr">
        <is>
          <t>TÖREBODA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3520-2022</t>
        </is>
      </c>
      <c r="B11060" s="1" t="n">
        <v>44585.72818287037</v>
      </c>
      <c r="C11060" s="1" t="n">
        <v>46011</v>
      </c>
      <c r="D11060" t="inlineStr">
        <is>
          <t>VÄSTRA GÖTALANDS LÄN</t>
        </is>
      </c>
      <c r="E11060" t="inlineStr">
        <is>
          <t>ALE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9056-2024</t>
        </is>
      </c>
      <c r="B11061" s="1" t="n">
        <v>45357.68982638889</v>
      </c>
      <c r="C11061" s="1" t="n">
        <v>46011</v>
      </c>
      <c r="D11061" t="inlineStr">
        <is>
          <t>VÄSTRA GÖTALANDS LÄN</t>
        </is>
      </c>
      <c r="E11061" t="inlineStr">
        <is>
          <t>BORÅS</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47692-2024</t>
        </is>
      </c>
      <c r="B11062" s="1" t="n">
        <v>45588.45613425926</v>
      </c>
      <c r="C11062" s="1" t="n">
        <v>46011</v>
      </c>
      <c r="D11062" t="inlineStr">
        <is>
          <t>VÄSTRA GÖTALANDS LÄN</t>
        </is>
      </c>
      <c r="E11062" t="inlineStr">
        <is>
          <t>ÅMÅL</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15736-2022</t>
        </is>
      </c>
      <c r="B11063" s="1" t="n">
        <v>44663.5128125</v>
      </c>
      <c r="C11063" s="1" t="n">
        <v>46011</v>
      </c>
      <c r="D11063" t="inlineStr">
        <is>
          <t>VÄSTRA GÖTALANDS LÄN</t>
        </is>
      </c>
      <c r="E11063" t="inlineStr">
        <is>
          <t>ULRICEHAMN</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47702-2024</t>
        </is>
      </c>
      <c r="B11064" s="1" t="n">
        <v>45588.46540509259</v>
      </c>
      <c r="C11064" s="1" t="n">
        <v>46011</v>
      </c>
      <c r="D11064" t="inlineStr">
        <is>
          <t>VÄSTRA GÖTALANDS LÄN</t>
        </is>
      </c>
      <c r="E11064" t="inlineStr">
        <is>
          <t>ÅMÅL</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47707-2024</t>
        </is>
      </c>
      <c r="B11065" s="1" t="n">
        <v>45588.46842592592</v>
      </c>
      <c r="C11065" s="1" t="n">
        <v>46011</v>
      </c>
      <c r="D11065" t="inlineStr">
        <is>
          <t>VÄSTRA GÖTALANDS LÄN</t>
        </is>
      </c>
      <c r="E11065" t="inlineStr">
        <is>
          <t>BENGTSFORS</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40374-2023</t>
        </is>
      </c>
      <c r="B11066" s="1" t="n">
        <v>45169.74189814815</v>
      </c>
      <c r="C11066" s="1" t="n">
        <v>46011</v>
      </c>
      <c r="D11066" t="inlineStr">
        <is>
          <t>VÄSTRA GÖTALANDS LÄN</t>
        </is>
      </c>
      <c r="E11066" t="inlineStr">
        <is>
          <t>SKÖVDE</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39942-2023</t>
        </is>
      </c>
      <c r="B11067" s="1" t="n">
        <v>45167</v>
      </c>
      <c r="C11067" s="1" t="n">
        <v>46011</v>
      </c>
      <c r="D11067" t="inlineStr">
        <is>
          <t>VÄSTRA GÖTALANDS LÄN</t>
        </is>
      </c>
      <c r="E11067" t="inlineStr">
        <is>
          <t>MELLERUD</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53362-2024</t>
        </is>
      </c>
      <c r="B11068" s="1" t="n">
        <v>45614</v>
      </c>
      <c r="C11068" s="1" t="n">
        <v>46011</v>
      </c>
      <c r="D11068" t="inlineStr">
        <is>
          <t>VÄSTRA GÖTALANDS LÄN</t>
        </is>
      </c>
      <c r="E11068" t="inlineStr">
        <is>
          <t>LIDKÖPING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19936-2023</t>
        </is>
      </c>
      <c r="B11069" s="1" t="n">
        <v>45054</v>
      </c>
      <c r="C11069" s="1" t="n">
        <v>46011</v>
      </c>
      <c r="D11069" t="inlineStr">
        <is>
          <t>VÄSTRA GÖTALANDS LÄN</t>
        </is>
      </c>
      <c r="E11069" t="inlineStr">
        <is>
          <t>BORÅS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41072-2023</t>
        </is>
      </c>
      <c r="B11070" s="1" t="n">
        <v>45170</v>
      </c>
      <c r="C11070" s="1" t="n">
        <v>46011</v>
      </c>
      <c r="D11070" t="inlineStr">
        <is>
          <t>VÄSTRA GÖTALANDS LÄN</t>
        </is>
      </c>
      <c r="E11070" t="inlineStr">
        <is>
          <t>STRÖMSTAD</t>
        </is>
      </c>
      <c r="G11070" t="n">
        <v>7.8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31596-2024</t>
        </is>
      </c>
      <c r="B11071" s="1" t="n">
        <v>45506.38613425926</v>
      </c>
      <c r="C11071" s="1" t="n">
        <v>46011</v>
      </c>
      <c r="D11071" t="inlineStr">
        <is>
          <t>VÄSTRA GÖTALANDS LÄN</t>
        </is>
      </c>
      <c r="E11071" t="inlineStr">
        <is>
          <t>LIDKÖPING</t>
        </is>
      </c>
      <c r="F11071" t="inlineStr">
        <is>
          <t>Kommuner</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41118-2023</t>
        </is>
      </c>
      <c r="B11072" s="1" t="n">
        <v>45173</v>
      </c>
      <c r="C11072" s="1" t="n">
        <v>46011</v>
      </c>
      <c r="D11072" t="inlineStr">
        <is>
          <t>VÄSTRA GÖTALANDS LÄN</t>
        </is>
      </c>
      <c r="E11072" t="inlineStr">
        <is>
          <t>BENGTSFORS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12090-2024</t>
        </is>
      </c>
      <c r="B11073" s="1" t="n">
        <v>45377.56537037037</v>
      </c>
      <c r="C11073" s="1" t="n">
        <v>46011</v>
      </c>
      <c r="D11073" t="inlineStr">
        <is>
          <t>VÄSTRA GÖTALANDS LÄN</t>
        </is>
      </c>
      <c r="E11073" t="inlineStr">
        <is>
          <t>HÄRRYDA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12124-2024</t>
        </is>
      </c>
      <c r="B11074" s="1" t="n">
        <v>45377</v>
      </c>
      <c r="C11074" s="1" t="n">
        <v>46011</v>
      </c>
      <c r="D11074" t="inlineStr">
        <is>
          <t>VÄSTRA GÖTALANDS LÄN</t>
        </is>
      </c>
      <c r="E11074" t="inlineStr">
        <is>
          <t>BOLLEBYGD</t>
        </is>
      </c>
      <c r="F11074" t="inlineStr">
        <is>
          <t>Kommuner</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12128-2024</t>
        </is>
      </c>
      <c r="B11075" s="1" t="n">
        <v>45377.64844907408</v>
      </c>
      <c r="C11075" s="1" t="n">
        <v>46011</v>
      </c>
      <c r="D11075" t="inlineStr">
        <is>
          <t>VÄSTRA GÖTALANDS LÄN</t>
        </is>
      </c>
      <c r="E11075" t="inlineStr">
        <is>
          <t>TRANEMO</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12130-2024</t>
        </is>
      </c>
      <c r="B11076" s="1" t="n">
        <v>45377.64953703704</v>
      </c>
      <c r="C11076" s="1" t="n">
        <v>46011</v>
      </c>
      <c r="D11076" t="inlineStr">
        <is>
          <t>VÄSTRA GÖTALANDS LÄN</t>
        </is>
      </c>
      <c r="E11076" t="inlineStr">
        <is>
          <t>TRANEMO</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12169-2024</t>
        </is>
      </c>
      <c r="B11077" s="1" t="n">
        <v>45377.86966435185</v>
      </c>
      <c r="C11077" s="1" t="n">
        <v>46011</v>
      </c>
      <c r="D11077" t="inlineStr">
        <is>
          <t>VÄSTRA GÖTALANDS LÄN</t>
        </is>
      </c>
      <c r="E11077" t="inlineStr">
        <is>
          <t>ULRICEHAMN</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12170-2024</t>
        </is>
      </c>
      <c r="B11078" s="1" t="n">
        <v>45377.88483796296</v>
      </c>
      <c r="C11078" s="1" t="n">
        <v>46011</v>
      </c>
      <c r="D11078" t="inlineStr">
        <is>
          <t>VÄSTRA GÖTALANDS LÄN</t>
        </is>
      </c>
      <c r="E11078" t="inlineStr">
        <is>
          <t>ULRICEHAMN</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12173-2024</t>
        </is>
      </c>
      <c r="B11079" s="1" t="n">
        <v>45377.89707175926</v>
      </c>
      <c r="C11079" s="1" t="n">
        <v>46011</v>
      </c>
      <c r="D11079" t="inlineStr">
        <is>
          <t>VÄSTRA GÖTALANDS LÄN</t>
        </is>
      </c>
      <c r="E11079" t="inlineStr">
        <is>
          <t>ULRICEHAMN</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37939-2023</t>
        </is>
      </c>
      <c r="B11080" s="1" t="n">
        <v>45160.54199074074</v>
      </c>
      <c r="C11080" s="1" t="n">
        <v>46011</v>
      </c>
      <c r="D11080" t="inlineStr">
        <is>
          <t>VÄSTRA GÖTALANDS LÄN</t>
        </is>
      </c>
      <c r="E11080" t="inlineStr">
        <is>
          <t>SVENLJUNGA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21060-2024</t>
        </is>
      </c>
      <c r="B11081" s="1" t="n">
        <v>45439.75086805555</v>
      </c>
      <c r="C11081" s="1" t="n">
        <v>46011</v>
      </c>
      <c r="D11081" t="inlineStr">
        <is>
          <t>VÄSTRA GÖTALANDS LÄN</t>
        </is>
      </c>
      <c r="E11081" t="inlineStr">
        <is>
          <t>GRÄSTORP</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14821-2024</t>
        </is>
      </c>
      <c r="B11082" s="1" t="n">
        <v>45398.18991898148</v>
      </c>
      <c r="C11082" s="1" t="n">
        <v>46011</v>
      </c>
      <c r="D11082" t="inlineStr">
        <is>
          <t>VÄSTRA GÖTALANDS LÄN</t>
        </is>
      </c>
      <c r="E11082" t="inlineStr">
        <is>
          <t>GULLSPÅNG</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42416-2023</t>
        </is>
      </c>
      <c r="B11083" s="1" t="n">
        <v>45180</v>
      </c>
      <c r="C11083" s="1" t="n">
        <v>46011</v>
      </c>
      <c r="D11083" t="inlineStr">
        <is>
          <t>VÄSTRA GÖTALANDS LÄN</t>
        </is>
      </c>
      <c r="E11083" t="inlineStr">
        <is>
          <t>FALKÖPING</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56517-2024</t>
        </is>
      </c>
      <c r="B11084" s="1" t="n">
        <v>45625</v>
      </c>
      <c r="C11084" s="1" t="n">
        <v>46011</v>
      </c>
      <c r="D11084" t="inlineStr">
        <is>
          <t>VÄSTRA GÖTALANDS LÄN</t>
        </is>
      </c>
      <c r="E11084" t="inlineStr">
        <is>
          <t>GULLSPÅNG</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56531-2024</t>
        </is>
      </c>
      <c r="B11085" s="1" t="n">
        <v>45625</v>
      </c>
      <c r="C11085" s="1" t="n">
        <v>46011</v>
      </c>
      <c r="D11085" t="inlineStr">
        <is>
          <t>VÄSTRA GÖTALANDS LÄN</t>
        </is>
      </c>
      <c r="E11085" t="inlineStr">
        <is>
          <t>GULLSPÅNG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50956-2023</t>
        </is>
      </c>
      <c r="B11086" s="1" t="n">
        <v>45218.48113425926</v>
      </c>
      <c r="C11086" s="1" t="n">
        <v>46011</v>
      </c>
      <c r="D11086" t="inlineStr">
        <is>
          <t>VÄSTRA GÖTALANDS LÄN</t>
        </is>
      </c>
      <c r="E11086" t="inlineStr">
        <is>
          <t>BENGTSFORS</t>
        </is>
      </c>
      <c r="G11086" t="n">
        <v>6.7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57976-2024</t>
        </is>
      </c>
      <c r="B11087" s="1" t="n">
        <v>45631.60872685185</v>
      </c>
      <c r="C11087" s="1" t="n">
        <v>46011</v>
      </c>
      <c r="D11087" t="inlineStr">
        <is>
          <t>VÄSTRA GÖTALANDS LÄN</t>
        </is>
      </c>
      <c r="E11087" t="inlineStr">
        <is>
          <t>BENGTSFORS</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58000-2024</t>
        </is>
      </c>
      <c r="B11088" s="1" t="n">
        <v>45631</v>
      </c>
      <c r="C11088" s="1" t="n">
        <v>46011</v>
      </c>
      <c r="D11088" t="inlineStr">
        <is>
          <t>VÄSTRA GÖTALANDS LÄN</t>
        </is>
      </c>
      <c r="E11088" t="inlineStr">
        <is>
          <t>BORÅS</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10470-2024</t>
        </is>
      </c>
      <c r="B11089" s="1" t="n">
        <v>45366.38853009259</v>
      </c>
      <c r="C11089" s="1" t="n">
        <v>46011</v>
      </c>
      <c r="D11089" t="inlineStr">
        <is>
          <t>VÄSTRA GÖTALANDS LÄN</t>
        </is>
      </c>
      <c r="E11089" t="inlineStr">
        <is>
          <t>STRÖMSTAD</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2214-2025</t>
        </is>
      </c>
      <c r="B11090" s="1" t="n">
        <v>45673.43833333333</v>
      </c>
      <c r="C11090" s="1" t="n">
        <v>46011</v>
      </c>
      <c r="D11090" t="inlineStr">
        <is>
          <t>VÄSTRA GÖTALANDS LÄN</t>
        </is>
      </c>
      <c r="E11090" t="inlineStr">
        <is>
          <t>TRANEMO</t>
        </is>
      </c>
      <c r="G11090" t="n">
        <v>16.6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7734-2022</t>
        </is>
      </c>
      <c r="B11091" s="1" t="n">
        <v>44608</v>
      </c>
      <c r="C11091" s="1" t="n">
        <v>46011</v>
      </c>
      <c r="D11091" t="inlineStr">
        <is>
          <t>VÄSTRA GÖTALANDS LÄN</t>
        </is>
      </c>
      <c r="E11091" t="inlineStr">
        <is>
          <t>VÅRGÅRDA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46899-2024</t>
        </is>
      </c>
      <c r="B11092" s="1" t="n">
        <v>45583.69771990741</v>
      </c>
      <c r="C11092" s="1" t="n">
        <v>46011</v>
      </c>
      <c r="D11092" t="inlineStr">
        <is>
          <t>VÄSTRA GÖTALANDS LÄN</t>
        </is>
      </c>
      <c r="E11092" t="inlineStr">
        <is>
          <t>UDDEVALLA</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37938-2023</t>
        </is>
      </c>
      <c r="B11093" s="1" t="n">
        <v>45160.54067129629</v>
      </c>
      <c r="C11093" s="1" t="n">
        <v>46011</v>
      </c>
      <c r="D11093" t="inlineStr">
        <is>
          <t>VÄSTRA GÖTALANDS LÄN</t>
        </is>
      </c>
      <c r="E11093" t="inlineStr">
        <is>
          <t>SVENLJUNGA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37940-2023</t>
        </is>
      </c>
      <c r="B11094" s="1" t="n">
        <v>45160</v>
      </c>
      <c r="C11094" s="1" t="n">
        <v>46011</v>
      </c>
      <c r="D11094" t="inlineStr">
        <is>
          <t>VÄSTRA GÖTALANDS LÄN</t>
        </is>
      </c>
      <c r="E11094" t="inlineStr">
        <is>
          <t>SVENLJUNGA</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54752-2024</t>
        </is>
      </c>
      <c r="B11095" s="1" t="n">
        <v>45618.45256944445</v>
      </c>
      <c r="C11095" s="1" t="n">
        <v>46011</v>
      </c>
      <c r="D11095" t="inlineStr">
        <is>
          <t>VÄSTRA GÖTALANDS LÄN</t>
        </is>
      </c>
      <c r="E11095" t="inlineStr">
        <is>
          <t>ALINGSÅS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12207-2025</t>
        </is>
      </c>
      <c r="B11096" s="1" t="n">
        <v>45729</v>
      </c>
      <c r="C11096" s="1" t="n">
        <v>46011</v>
      </c>
      <c r="D11096" t="inlineStr">
        <is>
          <t>VÄSTRA GÖTALANDS LÄN</t>
        </is>
      </c>
      <c r="E11096" t="inlineStr">
        <is>
          <t>TÖREBODA</t>
        </is>
      </c>
      <c r="F11096" t="inlineStr">
        <is>
          <t>Övriga statliga verk och myndigheter</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18090-2024</t>
        </is>
      </c>
      <c r="B11097" s="1" t="n">
        <v>45420.46322916666</v>
      </c>
      <c r="C11097" s="1" t="n">
        <v>46011</v>
      </c>
      <c r="D11097" t="inlineStr">
        <is>
          <t>VÄSTRA GÖTALANDS LÄN</t>
        </is>
      </c>
      <c r="E11097" t="inlineStr">
        <is>
          <t>SVENLJUNGA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21536-2024</t>
        </is>
      </c>
      <c r="B11098" s="1" t="n">
        <v>45441.59925925926</v>
      </c>
      <c r="C11098" s="1" t="n">
        <v>46011</v>
      </c>
      <c r="D11098" t="inlineStr">
        <is>
          <t>VÄSTRA GÖTALANDS LÄN</t>
        </is>
      </c>
      <c r="E11098" t="inlineStr">
        <is>
          <t>MÖLNDAL</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48354-2024</t>
        </is>
      </c>
      <c r="B11099" s="1" t="n">
        <v>45590.56171296296</v>
      </c>
      <c r="C11099" s="1" t="n">
        <v>46011</v>
      </c>
      <c r="D11099" t="inlineStr">
        <is>
          <t>VÄSTRA GÖTALANDS LÄN</t>
        </is>
      </c>
      <c r="E11099" t="inlineStr">
        <is>
          <t>BOLLEBYGD</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40257-2023</t>
        </is>
      </c>
      <c r="B11100" s="1" t="n">
        <v>45169.50835648148</v>
      </c>
      <c r="C11100" s="1" t="n">
        <v>46011</v>
      </c>
      <c r="D11100" t="inlineStr">
        <is>
          <t>VÄSTRA GÖTALANDS LÄN</t>
        </is>
      </c>
      <c r="E11100" t="inlineStr">
        <is>
          <t>LIDKÖPING</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46440-2024</t>
        </is>
      </c>
      <c r="B11101" s="1" t="n">
        <v>45582.48181712963</v>
      </c>
      <c r="C11101" s="1" t="n">
        <v>46011</v>
      </c>
      <c r="D11101" t="inlineStr">
        <is>
          <t>VÄSTRA GÖTALANDS LÄN</t>
        </is>
      </c>
      <c r="E11101" t="inlineStr">
        <is>
          <t>MUNKEDAL</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27255-2024</t>
        </is>
      </c>
      <c r="B11102" s="1" t="n">
        <v>45471.74104166667</v>
      </c>
      <c r="C11102" s="1" t="n">
        <v>46011</v>
      </c>
      <c r="D11102" t="inlineStr">
        <is>
          <t>VÄSTRA GÖTALANDS LÄN</t>
        </is>
      </c>
      <c r="E11102" t="inlineStr">
        <is>
          <t>ULRICEHAMN</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44608-2023</t>
        </is>
      </c>
      <c r="B11103" s="1" t="n">
        <v>45189</v>
      </c>
      <c r="C11103" s="1" t="n">
        <v>46011</v>
      </c>
      <c r="D11103" t="inlineStr">
        <is>
          <t>VÄSTRA GÖTALANDS LÄN</t>
        </is>
      </c>
      <c r="E11103" t="inlineStr">
        <is>
          <t>GÖTENE</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44610-2023</t>
        </is>
      </c>
      <c r="B11104" s="1" t="n">
        <v>45189.63023148148</v>
      </c>
      <c r="C11104" s="1" t="n">
        <v>46011</v>
      </c>
      <c r="D11104" t="inlineStr">
        <is>
          <t>VÄSTRA GÖTALANDS LÄN</t>
        </is>
      </c>
      <c r="E11104" t="inlineStr">
        <is>
          <t>MARK</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52043-2024</t>
        </is>
      </c>
      <c r="B11105" s="1" t="n">
        <v>45608.32934027778</v>
      </c>
      <c r="C11105" s="1" t="n">
        <v>46011</v>
      </c>
      <c r="D11105" t="inlineStr">
        <is>
          <t>VÄSTRA GÖTALANDS LÄN</t>
        </is>
      </c>
      <c r="E11105" t="inlineStr">
        <is>
          <t>HÄRRYDA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42483-2023</t>
        </is>
      </c>
      <c r="B11106" s="1" t="n">
        <v>45180.82547453704</v>
      </c>
      <c r="C11106" s="1" t="n">
        <v>46011</v>
      </c>
      <c r="D11106" t="inlineStr">
        <is>
          <t>VÄSTRA GÖTALANDS LÄN</t>
        </is>
      </c>
      <c r="E11106" t="inlineStr">
        <is>
          <t>BOLLEBYGD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16265-2025</t>
        </is>
      </c>
      <c r="B11107" s="1" t="n">
        <v>45750.8152662037</v>
      </c>
      <c r="C11107" s="1" t="n">
        <v>46011</v>
      </c>
      <c r="D11107" t="inlineStr">
        <is>
          <t>VÄSTRA GÖTALANDS LÄN</t>
        </is>
      </c>
      <c r="E11107" t="inlineStr">
        <is>
          <t>TÖREBODA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9218-2024</t>
        </is>
      </c>
      <c r="B11108" s="1" t="n">
        <v>45358.51653935185</v>
      </c>
      <c r="C11108" s="1" t="n">
        <v>46011</v>
      </c>
      <c r="D11108" t="inlineStr">
        <is>
          <t>VÄSTRA GÖTALANDS LÄN</t>
        </is>
      </c>
      <c r="E11108" t="inlineStr">
        <is>
          <t>VARA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37583-2024</t>
        </is>
      </c>
      <c r="B11109" s="1" t="n">
        <v>45541.45914351852</v>
      </c>
      <c r="C11109" s="1" t="n">
        <v>46011</v>
      </c>
      <c r="D11109" t="inlineStr">
        <is>
          <t>VÄSTRA GÖTALANDS LÄN</t>
        </is>
      </c>
      <c r="E11109" t="inlineStr">
        <is>
          <t>LYSEKIL</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47509-2024</t>
        </is>
      </c>
      <c r="B11110" s="1" t="n">
        <v>45587.60949074074</v>
      </c>
      <c r="C11110" s="1" t="n">
        <v>46011</v>
      </c>
      <c r="D11110" t="inlineStr">
        <is>
          <t>VÄSTRA GÖTALANDS LÄN</t>
        </is>
      </c>
      <c r="E11110" t="inlineStr">
        <is>
          <t>LILLA EDET</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1800-2025</t>
        </is>
      </c>
      <c r="B11111" s="1" t="n">
        <v>45671.46813657408</v>
      </c>
      <c r="C11111" s="1" t="n">
        <v>46011</v>
      </c>
      <c r="D11111" t="inlineStr">
        <is>
          <t>VÄSTRA GÖTALANDS LÄN</t>
        </is>
      </c>
      <c r="E11111" t="inlineStr">
        <is>
          <t>BORÅS</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40996-2024</t>
        </is>
      </c>
      <c r="B11112" s="1" t="n">
        <v>45558.78303240741</v>
      </c>
      <c r="C11112" s="1" t="n">
        <v>46011</v>
      </c>
      <c r="D11112" t="inlineStr">
        <is>
          <t>VÄSTRA GÖTALANDS LÄN</t>
        </is>
      </c>
      <c r="E11112" t="inlineStr">
        <is>
          <t>ULRICEHAMN</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40369-2024</t>
        </is>
      </c>
      <c r="B11113" s="1" t="n">
        <v>45555.39053240741</v>
      </c>
      <c r="C11113" s="1" t="n">
        <v>46011</v>
      </c>
      <c r="D11113" t="inlineStr">
        <is>
          <t>VÄSTRA GÖTALANDS LÄN</t>
        </is>
      </c>
      <c r="E11113" t="inlineStr">
        <is>
          <t>STRÖMSTAD</t>
        </is>
      </c>
      <c r="G11113" t="n">
        <v>14.5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6999-2025</t>
        </is>
      </c>
      <c r="B11114" s="1" t="n">
        <v>45701.59465277778</v>
      </c>
      <c r="C11114" s="1" t="n">
        <v>46011</v>
      </c>
      <c r="D11114" t="inlineStr">
        <is>
          <t>VÄSTRA GÖTALANDS LÄN</t>
        </is>
      </c>
      <c r="E11114" t="inlineStr">
        <is>
          <t>TRANEMO</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41716-2024</t>
        </is>
      </c>
      <c r="B11115" s="1" t="n">
        <v>45560.74233796296</v>
      </c>
      <c r="C11115" s="1" t="n">
        <v>46011</v>
      </c>
      <c r="D11115" t="inlineStr">
        <is>
          <t>VÄSTRA GÖTALANDS LÄN</t>
        </is>
      </c>
      <c r="E11115" t="inlineStr">
        <is>
          <t>MUNKEDAL</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41722-2024</t>
        </is>
      </c>
      <c r="B11116" s="1" t="n">
        <v>45560</v>
      </c>
      <c r="C11116" s="1" t="n">
        <v>46011</v>
      </c>
      <c r="D11116" t="inlineStr">
        <is>
          <t>VÄSTRA GÖTALANDS LÄN</t>
        </is>
      </c>
      <c r="E11116" t="inlineStr">
        <is>
          <t>SKÖVDE</t>
        </is>
      </c>
      <c r="G11116" t="n">
        <v>10.1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44033-2024</t>
        </is>
      </c>
      <c r="B11117" s="1" t="n">
        <v>45572</v>
      </c>
      <c r="C11117" s="1" t="n">
        <v>46011</v>
      </c>
      <c r="D11117" t="inlineStr">
        <is>
          <t>VÄSTRA GÖTALANDS LÄN</t>
        </is>
      </c>
      <c r="E11117" t="inlineStr">
        <is>
          <t>GÖTENE</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10743-2022</t>
        </is>
      </c>
      <c r="B11118" s="1" t="n">
        <v>44627.36609953704</v>
      </c>
      <c r="C11118" s="1" t="n">
        <v>46011</v>
      </c>
      <c r="D11118" t="inlineStr">
        <is>
          <t>VÄSTRA GÖTALANDS LÄN</t>
        </is>
      </c>
      <c r="E11118" t="inlineStr">
        <is>
          <t>TANUM</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13107-2022</t>
        </is>
      </c>
      <c r="B11119" s="1" t="n">
        <v>44644</v>
      </c>
      <c r="C11119" s="1" t="n">
        <v>46011</v>
      </c>
      <c r="D11119" t="inlineStr">
        <is>
          <t>VÄSTRA GÖTALANDS LÄN</t>
        </is>
      </c>
      <c r="E11119" t="inlineStr">
        <is>
          <t>BORÅS</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61857-2024</t>
        </is>
      </c>
      <c r="B11120" s="1" t="n">
        <v>45649</v>
      </c>
      <c r="C11120" s="1" t="n">
        <v>46011</v>
      </c>
      <c r="D11120" t="inlineStr">
        <is>
          <t>VÄSTRA GÖTALANDS LÄN</t>
        </is>
      </c>
      <c r="E11120" t="inlineStr">
        <is>
          <t>FALKÖPING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4452-2025</t>
        </is>
      </c>
      <c r="B11121" s="1" t="n">
        <v>45686.57615740741</v>
      </c>
      <c r="C11121" s="1" t="n">
        <v>46011</v>
      </c>
      <c r="D11121" t="inlineStr">
        <is>
          <t>VÄSTRA GÖTALANDS LÄN</t>
        </is>
      </c>
      <c r="E11121" t="inlineStr">
        <is>
          <t>TRANEMO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6233-2024</t>
        </is>
      </c>
      <c r="B11122" s="1" t="n">
        <v>45337</v>
      </c>
      <c r="C11122" s="1" t="n">
        <v>46011</v>
      </c>
      <c r="D11122" t="inlineStr">
        <is>
          <t>VÄSTRA GÖTALANDS LÄN</t>
        </is>
      </c>
      <c r="E11122" t="inlineStr">
        <is>
          <t>GULLSPÅNG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6239-2024</t>
        </is>
      </c>
      <c r="B11123" s="1" t="n">
        <v>45337.68260416666</v>
      </c>
      <c r="C11123" s="1" t="n">
        <v>46011</v>
      </c>
      <c r="D11123" t="inlineStr">
        <is>
          <t>VÄSTRA GÖTALANDS LÄN</t>
        </is>
      </c>
      <c r="E11123" t="inlineStr">
        <is>
          <t>HERRLJUNGA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8097-2024</t>
        </is>
      </c>
      <c r="B11124" s="1" t="n">
        <v>45351.45969907408</v>
      </c>
      <c r="C11124" s="1" t="n">
        <v>46011</v>
      </c>
      <c r="D11124" t="inlineStr">
        <is>
          <t>VÄSTRA GÖTALANDS LÄN</t>
        </is>
      </c>
      <c r="E11124" t="inlineStr">
        <is>
          <t>BORÅS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57913-2024</t>
        </is>
      </c>
      <c r="B11125" s="1" t="n">
        <v>45631.49569444444</v>
      </c>
      <c r="C11125" s="1" t="n">
        <v>46011</v>
      </c>
      <c r="D11125" t="inlineStr">
        <is>
          <t>VÄSTRA GÖTALANDS LÄN</t>
        </is>
      </c>
      <c r="E11125" t="inlineStr">
        <is>
          <t>KARLSBORG</t>
        </is>
      </c>
      <c r="F11125" t="inlineStr">
        <is>
          <t>Sveaskog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42005-2023</t>
        </is>
      </c>
      <c r="B11126" s="1" t="n">
        <v>45174</v>
      </c>
      <c r="C11126" s="1" t="n">
        <v>46011</v>
      </c>
      <c r="D11126" t="inlineStr">
        <is>
          <t>VÄSTRA GÖTALANDS LÄN</t>
        </is>
      </c>
      <c r="E11126" t="inlineStr">
        <is>
          <t>MUNKEDAL</t>
        </is>
      </c>
      <c r="F11126" t="inlineStr">
        <is>
          <t>Kyrkan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42703-2023</t>
        </is>
      </c>
      <c r="B11127" s="1" t="n">
        <v>45181.60784722222</v>
      </c>
      <c r="C11127" s="1" t="n">
        <v>46011</v>
      </c>
      <c r="D11127" t="inlineStr">
        <is>
          <t>VÄSTRA GÖTALANDS LÄN</t>
        </is>
      </c>
      <c r="E11127" t="inlineStr">
        <is>
          <t>SVENLJUNGA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73810-2021</t>
        </is>
      </c>
      <c r="B11128" s="1" t="n">
        <v>44552.73019675926</v>
      </c>
      <c r="C11128" s="1" t="n">
        <v>46011</v>
      </c>
      <c r="D11128" t="inlineStr">
        <is>
          <t>VÄSTRA GÖTALANDS LÄN</t>
        </is>
      </c>
      <c r="E11128" t="inlineStr">
        <is>
          <t>TANUM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10843-2025</t>
        </is>
      </c>
      <c r="B11129" s="1" t="n">
        <v>45722.5778125</v>
      </c>
      <c r="C11129" s="1" t="n">
        <v>46011</v>
      </c>
      <c r="D11129" t="inlineStr">
        <is>
          <t>VÄSTRA GÖTALANDS LÄN</t>
        </is>
      </c>
      <c r="E11129" t="inlineStr">
        <is>
          <t>STENUNGSUND</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10849-2025</t>
        </is>
      </c>
      <c r="B11130" s="1" t="n">
        <v>45722.5817824074</v>
      </c>
      <c r="C11130" s="1" t="n">
        <v>46011</v>
      </c>
      <c r="D11130" t="inlineStr">
        <is>
          <t>VÄSTRA GÖTALANDS LÄN</t>
        </is>
      </c>
      <c r="E11130" t="inlineStr">
        <is>
          <t>STENUNGSUND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14738-2025</t>
        </is>
      </c>
      <c r="B11131" s="1" t="n">
        <v>45742.64620370371</v>
      </c>
      <c r="C11131" s="1" t="n">
        <v>46011</v>
      </c>
      <c r="D11131" t="inlineStr">
        <is>
          <t>VÄSTRA GÖTALANDS LÄN</t>
        </is>
      </c>
      <c r="E11131" t="inlineStr">
        <is>
          <t>KARLSBORG</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73585-2021</t>
        </is>
      </c>
      <c r="B11132" s="1" t="n">
        <v>44552.35958333333</v>
      </c>
      <c r="C11132" s="1" t="n">
        <v>46011</v>
      </c>
      <c r="D11132" t="inlineStr">
        <is>
          <t>VÄSTRA GÖTALANDS LÄN</t>
        </is>
      </c>
      <c r="E11132" t="inlineStr">
        <is>
          <t>BENGTSFORS</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19759-2024</t>
        </is>
      </c>
      <c r="B11133" s="1" t="n">
        <v>45432.69586805555</v>
      </c>
      <c r="C11133" s="1" t="n">
        <v>46011</v>
      </c>
      <c r="D11133" t="inlineStr">
        <is>
          <t>VÄSTRA GÖTALANDS LÄN</t>
        </is>
      </c>
      <c r="E11133" t="inlineStr">
        <is>
          <t>LIDKÖPING</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57266-2024</t>
        </is>
      </c>
      <c r="B11134" s="1" t="n">
        <v>45629</v>
      </c>
      <c r="C11134" s="1" t="n">
        <v>46011</v>
      </c>
      <c r="D11134" t="inlineStr">
        <is>
          <t>VÄSTRA GÖTALANDS LÄN</t>
        </is>
      </c>
      <c r="E11134" t="inlineStr">
        <is>
          <t>VARA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57269-2024</t>
        </is>
      </c>
      <c r="B11135" s="1" t="n">
        <v>45629.57262731482</v>
      </c>
      <c r="C11135" s="1" t="n">
        <v>46011</v>
      </c>
      <c r="D11135" t="inlineStr">
        <is>
          <t>VÄSTRA GÖTALANDS LÄN</t>
        </is>
      </c>
      <c r="E11135" t="inlineStr">
        <is>
          <t>HÄRRYDA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57296-2024</t>
        </is>
      </c>
      <c r="B11136" s="1" t="n">
        <v>45629.59741898148</v>
      </c>
      <c r="C11136" s="1" t="n">
        <v>46011</v>
      </c>
      <c r="D11136" t="inlineStr">
        <is>
          <t>VÄSTRA GÖTALANDS LÄN</t>
        </is>
      </c>
      <c r="E11136" t="inlineStr">
        <is>
          <t>ÅMÅL</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59854-2024</t>
        </is>
      </c>
      <c r="B11137" s="1" t="n">
        <v>45639.71099537037</v>
      </c>
      <c r="C11137" s="1" t="n">
        <v>46011</v>
      </c>
      <c r="D11137" t="inlineStr">
        <is>
          <t>VÄSTRA GÖTALANDS LÄN</t>
        </is>
      </c>
      <c r="E11137" t="inlineStr">
        <is>
          <t>DALS-ED</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59855-2024</t>
        </is>
      </c>
      <c r="B11138" s="1" t="n">
        <v>45639.71262731482</v>
      </c>
      <c r="C11138" s="1" t="n">
        <v>46011</v>
      </c>
      <c r="D11138" t="inlineStr">
        <is>
          <t>VÄSTRA GÖTALANDS LÄN</t>
        </is>
      </c>
      <c r="E11138" t="inlineStr">
        <is>
          <t>DALS-ED</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27335-2024</t>
        </is>
      </c>
      <c r="B11139" s="1" t="n">
        <v>45472.88256944445</v>
      </c>
      <c r="C11139" s="1" t="n">
        <v>46011</v>
      </c>
      <c r="D11139" t="inlineStr">
        <is>
          <t>VÄSTRA GÖTALANDS LÄN</t>
        </is>
      </c>
      <c r="E11139" t="inlineStr">
        <is>
          <t>BORÅS</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13515-2022</t>
        </is>
      </c>
      <c r="B11140" s="1" t="n">
        <v>44648</v>
      </c>
      <c r="C11140" s="1" t="n">
        <v>46011</v>
      </c>
      <c r="D11140" t="inlineStr">
        <is>
          <t>VÄSTRA GÖTALANDS LÄN</t>
        </is>
      </c>
      <c r="E11140" t="inlineStr">
        <is>
          <t>TROLLHÄTTAN</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2460-2022</t>
        </is>
      </c>
      <c r="B11141" s="1" t="n">
        <v>44579</v>
      </c>
      <c r="C11141" s="1" t="n">
        <v>46011</v>
      </c>
      <c r="D11141" t="inlineStr">
        <is>
          <t>VÄSTRA GÖTALANDS LÄN</t>
        </is>
      </c>
      <c r="E11141" t="inlineStr">
        <is>
          <t>TROLLHÄTTAN</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6653-2022</t>
        </is>
      </c>
      <c r="B11142" s="1" t="n">
        <v>44602</v>
      </c>
      <c r="C11142" s="1" t="n">
        <v>46011</v>
      </c>
      <c r="D11142" t="inlineStr">
        <is>
          <t>VÄSTRA GÖTALANDS LÄN</t>
        </is>
      </c>
      <c r="E11142" t="inlineStr">
        <is>
          <t>BOLLEBYGD</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55739-2024</t>
        </is>
      </c>
      <c r="B11143" s="1" t="n">
        <v>45623.2665162037</v>
      </c>
      <c r="C11143" s="1" t="n">
        <v>46011</v>
      </c>
      <c r="D11143" t="inlineStr">
        <is>
          <t>VÄSTRA GÖTALANDS LÄN</t>
        </is>
      </c>
      <c r="E11143" t="inlineStr">
        <is>
          <t>FALKÖPING</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2633-2022</t>
        </is>
      </c>
      <c r="B11144" s="1" t="n">
        <v>44580</v>
      </c>
      <c r="C11144" s="1" t="n">
        <v>46011</v>
      </c>
      <c r="D11144" t="inlineStr">
        <is>
          <t>VÄSTRA GÖTALANDS LÄN</t>
        </is>
      </c>
      <c r="E11144" t="inlineStr">
        <is>
          <t>GULLSPÅNG</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29415-2023</t>
        </is>
      </c>
      <c r="B11145" s="1" t="n">
        <v>45106</v>
      </c>
      <c r="C11145" s="1" t="n">
        <v>46011</v>
      </c>
      <c r="D11145" t="inlineStr">
        <is>
          <t>VÄSTRA GÖTALANDS LÄN</t>
        </is>
      </c>
      <c r="E11145" t="inlineStr">
        <is>
          <t>MUNKEDAL</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38407-2023</t>
        </is>
      </c>
      <c r="B11146" s="1" t="n">
        <v>45162</v>
      </c>
      <c r="C11146" s="1" t="n">
        <v>46011</v>
      </c>
      <c r="D11146" t="inlineStr">
        <is>
          <t>VÄSTRA GÖTALANDS LÄN</t>
        </is>
      </c>
      <c r="E11146" t="inlineStr">
        <is>
          <t>DALS-ED</t>
        </is>
      </c>
      <c r="G11146" t="n">
        <v>10.8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56542-2024</t>
        </is>
      </c>
      <c r="B11147" s="1" t="n">
        <v>45625.56277777778</v>
      </c>
      <c r="C11147" s="1" t="n">
        <v>46011</v>
      </c>
      <c r="D11147" t="inlineStr">
        <is>
          <t>VÄSTRA GÖTALANDS LÄN</t>
        </is>
      </c>
      <c r="E11147" t="inlineStr">
        <is>
          <t>LIDKÖPING</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365-2022</t>
        </is>
      </c>
      <c r="B11148" s="1" t="n">
        <v>44565</v>
      </c>
      <c r="C11148" s="1" t="n">
        <v>46011</v>
      </c>
      <c r="D11148" t="inlineStr">
        <is>
          <t>VÄSTRA GÖTALANDS LÄN</t>
        </is>
      </c>
      <c r="E11148" t="inlineStr">
        <is>
          <t>VARA</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19399-2023</t>
        </is>
      </c>
      <c r="B11149" s="1" t="n">
        <v>45049</v>
      </c>
      <c r="C11149" s="1" t="n">
        <v>46011</v>
      </c>
      <c r="D11149" t="inlineStr">
        <is>
          <t>VÄSTRA GÖTALANDS LÄN</t>
        </is>
      </c>
      <c r="E11149" t="inlineStr">
        <is>
          <t>MUNKEDAL</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74199-2021</t>
        </is>
      </c>
      <c r="B11150" s="1" t="n">
        <v>44558</v>
      </c>
      <c r="C11150" s="1" t="n">
        <v>46011</v>
      </c>
      <c r="D11150" t="inlineStr">
        <is>
          <t>VÄSTRA GÖTALANDS LÄN</t>
        </is>
      </c>
      <c r="E11150" t="inlineStr">
        <is>
          <t>ULRICEHAMN</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50909-2023</t>
        </is>
      </c>
      <c r="B11151" s="1" t="n">
        <v>45218.42068287037</v>
      </c>
      <c r="C11151" s="1" t="n">
        <v>46011</v>
      </c>
      <c r="D11151" t="inlineStr">
        <is>
          <t>VÄSTRA GÖTALANDS LÄN</t>
        </is>
      </c>
      <c r="E11151" t="inlineStr">
        <is>
          <t>VARA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28692-2024</t>
        </is>
      </c>
      <c r="B11152" s="1" t="n">
        <v>45478.49087962963</v>
      </c>
      <c r="C11152" s="1" t="n">
        <v>46011</v>
      </c>
      <c r="D11152" t="inlineStr">
        <is>
          <t>VÄSTRA GÖTALANDS LÄN</t>
        </is>
      </c>
      <c r="E11152" t="inlineStr">
        <is>
          <t>MUNKEDAL</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13366-2022</t>
        </is>
      </c>
      <c r="B11153" s="1" t="n">
        <v>44645</v>
      </c>
      <c r="C11153" s="1" t="n">
        <v>46011</v>
      </c>
      <c r="D11153" t="inlineStr">
        <is>
          <t>VÄSTRA GÖTALANDS LÄN</t>
        </is>
      </c>
      <c r="E11153" t="inlineStr">
        <is>
          <t>GÖTENE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49164-2024</t>
        </is>
      </c>
      <c r="B11154" s="1" t="n">
        <v>45594.92625</v>
      </c>
      <c r="C11154" s="1" t="n">
        <v>46011</v>
      </c>
      <c r="D11154" t="inlineStr">
        <is>
          <t>VÄSTRA GÖTALANDS LÄN</t>
        </is>
      </c>
      <c r="E11154" t="inlineStr">
        <is>
          <t>ALINGSÅS</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58097-2024</t>
        </is>
      </c>
      <c r="B11155" s="1" t="n">
        <v>45632</v>
      </c>
      <c r="C11155" s="1" t="n">
        <v>46011</v>
      </c>
      <c r="D11155" t="inlineStr">
        <is>
          <t>VÄSTRA GÖTALANDS LÄN</t>
        </is>
      </c>
      <c r="E11155" t="inlineStr">
        <is>
          <t>TÖREBODA</t>
        </is>
      </c>
      <c r="G11155" t="n">
        <v>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58138-2024</t>
        </is>
      </c>
      <c r="B11156" s="1" t="n">
        <v>45631</v>
      </c>
      <c r="C11156" s="1" t="n">
        <v>46011</v>
      </c>
      <c r="D11156" t="inlineStr">
        <is>
          <t>VÄSTRA GÖTALANDS LÄN</t>
        </is>
      </c>
      <c r="E11156" t="inlineStr">
        <is>
          <t>SKÖVDE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45139-2023</t>
        </is>
      </c>
      <c r="B11157" s="1" t="n">
        <v>45191</v>
      </c>
      <c r="C11157" s="1" t="n">
        <v>46011</v>
      </c>
      <c r="D11157" t="inlineStr">
        <is>
          <t>VÄSTRA GÖTALANDS LÄN</t>
        </is>
      </c>
      <c r="E11157" t="inlineStr">
        <is>
          <t>ULRICEHAMN</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45161-2023</t>
        </is>
      </c>
      <c r="B11158" s="1" t="n">
        <v>45191.49090277778</v>
      </c>
      <c r="C11158" s="1" t="n">
        <v>46011</v>
      </c>
      <c r="D11158" t="inlineStr">
        <is>
          <t>VÄSTRA GÖTALANDS LÄN</t>
        </is>
      </c>
      <c r="E11158" t="inlineStr">
        <is>
          <t>TÖREBODA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6875-2022</t>
        </is>
      </c>
      <c r="B11159" s="1" t="n">
        <v>44602</v>
      </c>
      <c r="C11159" s="1" t="n">
        <v>46011</v>
      </c>
      <c r="D11159" t="inlineStr">
        <is>
          <t>VÄSTRA GÖTALANDS LÄN</t>
        </is>
      </c>
      <c r="E11159" t="inlineStr">
        <is>
          <t>UDDEVALLA</t>
        </is>
      </c>
      <c r="G11159" t="n">
        <v>9.6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12713-2022</t>
        </is>
      </c>
      <c r="B11160" s="1" t="n">
        <v>44641.64945601852</v>
      </c>
      <c r="C11160" s="1" t="n">
        <v>46011</v>
      </c>
      <c r="D11160" t="inlineStr">
        <is>
          <t>VÄSTRA GÖTALANDS LÄN</t>
        </is>
      </c>
      <c r="E11160" t="inlineStr">
        <is>
          <t>MELLERUD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10191-2022</t>
        </is>
      </c>
      <c r="B11161" s="1" t="n">
        <v>44622.4339699074</v>
      </c>
      <c r="C11161" s="1" t="n">
        <v>46011</v>
      </c>
      <c r="D11161" t="inlineStr">
        <is>
          <t>VÄSTRA GÖTALANDS LÄN</t>
        </is>
      </c>
      <c r="E11161" t="inlineStr">
        <is>
          <t>TRANEMO</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10193-2022</t>
        </is>
      </c>
      <c r="B11162" s="1" t="n">
        <v>44622</v>
      </c>
      <c r="C11162" s="1" t="n">
        <v>46011</v>
      </c>
      <c r="D11162" t="inlineStr">
        <is>
          <t>VÄSTRA GÖTALANDS LÄN</t>
        </is>
      </c>
      <c r="E11162" t="inlineStr">
        <is>
          <t>TRANEMO</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45605-2024</t>
        </is>
      </c>
      <c r="B11163" s="1" t="n">
        <v>45579.44217592593</v>
      </c>
      <c r="C11163" s="1" t="n">
        <v>46011</v>
      </c>
      <c r="D11163" t="inlineStr">
        <is>
          <t>VÄSTRA GÖTALANDS LÄN</t>
        </is>
      </c>
      <c r="E11163" t="inlineStr">
        <is>
          <t>BENGTSFORS</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45618-2024</t>
        </is>
      </c>
      <c r="B11164" s="1" t="n">
        <v>45579.45614583333</v>
      </c>
      <c r="C11164" s="1" t="n">
        <v>46011</v>
      </c>
      <c r="D11164" t="inlineStr">
        <is>
          <t>VÄSTRA GÖTALANDS LÄN</t>
        </is>
      </c>
      <c r="E11164" t="inlineStr">
        <is>
          <t>BORÅS</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53677-2023</t>
        </is>
      </c>
      <c r="B11165" s="1" t="n">
        <v>45230.6325462963</v>
      </c>
      <c r="C11165" s="1" t="n">
        <v>46011</v>
      </c>
      <c r="D11165" t="inlineStr">
        <is>
          <t>VÄSTRA GÖTALANDS LÄN</t>
        </is>
      </c>
      <c r="E11165" t="inlineStr">
        <is>
          <t>BENGTSFORS</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73932-2021</t>
        </is>
      </c>
      <c r="B11166" s="1" t="n">
        <v>44553</v>
      </c>
      <c r="C11166" s="1" t="n">
        <v>46011</v>
      </c>
      <c r="D11166" t="inlineStr">
        <is>
          <t>VÄSTRA GÖTALANDS LÄN</t>
        </is>
      </c>
      <c r="E11166" t="inlineStr">
        <is>
          <t>ULRICEHAMN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13553-2022</t>
        </is>
      </c>
      <c r="B11167" s="1" t="n">
        <v>44648</v>
      </c>
      <c r="C11167" s="1" t="n">
        <v>46011</v>
      </c>
      <c r="D11167" t="inlineStr">
        <is>
          <t>VÄSTRA GÖTALANDS LÄN</t>
        </is>
      </c>
      <c r="E11167" t="inlineStr">
        <is>
          <t>MARK</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4772-2024</t>
        </is>
      </c>
      <c r="B11168" s="1" t="n">
        <v>45328.72829861111</v>
      </c>
      <c r="C11168" s="1" t="n">
        <v>46011</v>
      </c>
      <c r="D11168" t="inlineStr">
        <is>
          <t>VÄSTRA GÖTALANDS LÄN</t>
        </is>
      </c>
      <c r="E11168" t="inlineStr">
        <is>
          <t>ULRICEHAMN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36606-2023</t>
        </is>
      </c>
      <c r="B11169" s="1" t="n">
        <v>45153.48958333334</v>
      </c>
      <c r="C11169" s="1" t="n">
        <v>46011</v>
      </c>
      <c r="D11169" t="inlineStr">
        <is>
          <t>VÄSTRA GÖTALANDS LÄN</t>
        </is>
      </c>
      <c r="E11169" t="inlineStr">
        <is>
          <t>FÄRGELANDA</t>
        </is>
      </c>
      <c r="G11169" t="n">
        <v>13.5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56756-2024</t>
        </is>
      </c>
      <c r="B11170" s="1" t="n">
        <v>45628.39364583333</v>
      </c>
      <c r="C11170" s="1" t="n">
        <v>46011</v>
      </c>
      <c r="D11170" t="inlineStr">
        <is>
          <t>VÄSTRA GÖTALANDS LÄN</t>
        </is>
      </c>
      <c r="E11170" t="inlineStr">
        <is>
          <t>TIDAHOLM</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18854-2023</t>
        </is>
      </c>
      <c r="B11171" s="1" t="n">
        <v>45042</v>
      </c>
      <c r="C11171" s="1" t="n">
        <v>46011</v>
      </c>
      <c r="D11171" t="inlineStr">
        <is>
          <t>VÄSTRA GÖTALANDS LÄN</t>
        </is>
      </c>
      <c r="E11171" t="inlineStr">
        <is>
          <t>MELLERUD</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24714-2023</t>
        </is>
      </c>
      <c r="B11172" s="1" t="n">
        <v>45084.56028935185</v>
      </c>
      <c r="C11172" s="1" t="n">
        <v>46011</v>
      </c>
      <c r="D11172" t="inlineStr">
        <is>
          <t>VÄSTRA GÖTALANDS LÄN</t>
        </is>
      </c>
      <c r="E11172" t="inlineStr">
        <is>
          <t>FALKÖPING</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24759-2023</t>
        </is>
      </c>
      <c r="B11173" s="1" t="n">
        <v>45084.62170138889</v>
      </c>
      <c r="C11173" s="1" t="n">
        <v>46011</v>
      </c>
      <c r="D11173" t="inlineStr">
        <is>
          <t>VÄSTRA GÖTALANDS LÄN</t>
        </is>
      </c>
      <c r="E11173" t="inlineStr">
        <is>
          <t>LIDKÖPING</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8628-2025</t>
        </is>
      </c>
      <c r="B11174" s="1" t="n">
        <v>45711.66019675926</v>
      </c>
      <c r="C11174" s="1" t="n">
        <v>46011</v>
      </c>
      <c r="D11174" t="inlineStr">
        <is>
          <t>VÄSTRA GÖTALANDS LÄN</t>
        </is>
      </c>
      <c r="E11174" t="inlineStr">
        <is>
          <t>TRANEMO</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8629-2025</t>
        </is>
      </c>
      <c r="B11175" s="1" t="n">
        <v>45711.66600694445</v>
      </c>
      <c r="C11175" s="1" t="n">
        <v>46011</v>
      </c>
      <c r="D11175" t="inlineStr">
        <is>
          <t>VÄSTRA GÖTALANDS LÄN</t>
        </is>
      </c>
      <c r="E11175" t="inlineStr">
        <is>
          <t>BORÅS</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10609-2025</t>
        </is>
      </c>
      <c r="B11176" s="1" t="n">
        <v>45721.59949074074</v>
      </c>
      <c r="C11176" s="1" t="n">
        <v>46011</v>
      </c>
      <c r="D11176" t="inlineStr">
        <is>
          <t>VÄSTRA GÖTALANDS LÄN</t>
        </is>
      </c>
      <c r="E11176" t="inlineStr">
        <is>
          <t>TIDAHOLM</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24021-2023</t>
        </is>
      </c>
      <c r="B11177" s="1" t="n">
        <v>45078</v>
      </c>
      <c r="C11177" s="1" t="n">
        <v>46011</v>
      </c>
      <c r="D11177" t="inlineStr">
        <is>
          <t>VÄSTRA GÖTALANDS LÄN</t>
        </is>
      </c>
      <c r="E11177" t="inlineStr">
        <is>
          <t>DALS-ED</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7526-2022</t>
        </is>
      </c>
      <c r="B11178" s="1" t="n">
        <v>44607.50556712963</v>
      </c>
      <c r="C11178" s="1" t="n">
        <v>46011</v>
      </c>
      <c r="D11178" t="inlineStr">
        <is>
          <t>VÄSTRA GÖTALANDS LÄN</t>
        </is>
      </c>
      <c r="E11178" t="inlineStr">
        <is>
          <t>ULRICEHAMN</t>
        </is>
      </c>
      <c r="G11178" t="n">
        <v>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7528-2022</t>
        </is>
      </c>
      <c r="B11179" s="1" t="n">
        <v>44607.50699074074</v>
      </c>
      <c r="C11179" s="1" t="n">
        <v>46011</v>
      </c>
      <c r="D11179" t="inlineStr">
        <is>
          <t>VÄSTRA GÖTALANDS LÄN</t>
        </is>
      </c>
      <c r="E11179" t="inlineStr">
        <is>
          <t>ULRICEHAMN</t>
        </is>
      </c>
      <c r="G11179" t="n">
        <v>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13665-2022</t>
        </is>
      </c>
      <c r="B11180" s="1" t="n">
        <v>44648.66422453704</v>
      </c>
      <c r="C11180" s="1" t="n">
        <v>46011</v>
      </c>
      <c r="D11180" t="inlineStr">
        <is>
          <t>VÄSTRA GÖTALANDS LÄN</t>
        </is>
      </c>
      <c r="E11180" t="inlineStr">
        <is>
          <t>BENGTSFORS</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50579-2023</t>
        </is>
      </c>
      <c r="B11181" s="1" t="n">
        <v>45217</v>
      </c>
      <c r="C11181" s="1" t="n">
        <v>46011</v>
      </c>
      <c r="D11181" t="inlineStr">
        <is>
          <t>VÄSTRA GÖTALANDS LÄN</t>
        </is>
      </c>
      <c r="E11181" t="inlineStr">
        <is>
          <t>MARIESTAD</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52726-2024</t>
        </is>
      </c>
      <c r="B11182" s="1" t="n">
        <v>45610</v>
      </c>
      <c r="C11182" s="1" t="n">
        <v>46011</v>
      </c>
      <c r="D11182" t="inlineStr">
        <is>
          <t>VÄSTRA GÖTALANDS LÄN</t>
        </is>
      </c>
      <c r="E11182" t="inlineStr">
        <is>
          <t>SVENLJUNGA</t>
        </is>
      </c>
      <c r="G11182" t="n">
        <v>12.2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27796-2022</t>
        </is>
      </c>
      <c r="B11183" s="1" t="n">
        <v>44743</v>
      </c>
      <c r="C11183" s="1" t="n">
        <v>46011</v>
      </c>
      <c r="D11183" t="inlineStr">
        <is>
          <t>VÄSTRA GÖTALANDS LÄN</t>
        </is>
      </c>
      <c r="E11183" t="inlineStr">
        <is>
          <t>DALS-ED</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40880-2023</t>
        </is>
      </c>
      <c r="B11184" s="1" t="n">
        <v>45173.36982638889</v>
      </c>
      <c r="C11184" s="1" t="n">
        <v>46011</v>
      </c>
      <c r="D11184" t="inlineStr">
        <is>
          <t>VÄSTRA GÖTALANDS LÄN</t>
        </is>
      </c>
      <c r="E11184" t="inlineStr">
        <is>
          <t>ALINGSÅS</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33237-2024</t>
        </is>
      </c>
      <c r="B11185" s="1" t="n">
        <v>45518.59173611111</v>
      </c>
      <c r="C11185" s="1" t="n">
        <v>46011</v>
      </c>
      <c r="D11185" t="inlineStr">
        <is>
          <t>VÄSTRA GÖTALANDS LÄN</t>
        </is>
      </c>
      <c r="E11185" t="inlineStr">
        <is>
          <t>ALE</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9117-2025</t>
        </is>
      </c>
      <c r="B11186" s="1" t="n">
        <v>45713.79837962963</v>
      </c>
      <c r="C11186" s="1" t="n">
        <v>46011</v>
      </c>
      <c r="D11186" t="inlineStr">
        <is>
          <t>VÄSTRA GÖTALANDS LÄN</t>
        </is>
      </c>
      <c r="E11186" t="inlineStr">
        <is>
          <t>SKARA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62121-2023</t>
        </is>
      </c>
      <c r="B11187" s="1" t="n">
        <v>45267.2840162037</v>
      </c>
      <c r="C11187" s="1" t="n">
        <v>46011</v>
      </c>
      <c r="D11187" t="inlineStr">
        <is>
          <t>VÄSTRA GÖTALANDS LÄN</t>
        </is>
      </c>
      <c r="E11187" t="inlineStr">
        <is>
          <t>TIDAHOLM</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9046-2022</t>
        </is>
      </c>
      <c r="B11188" s="1" t="n">
        <v>44615.44694444445</v>
      </c>
      <c r="C11188" s="1" t="n">
        <v>46011</v>
      </c>
      <c r="D11188" t="inlineStr">
        <is>
          <t>VÄSTRA GÖTALANDS LÄN</t>
        </is>
      </c>
      <c r="E11188" t="inlineStr">
        <is>
          <t>LILLA EDET</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11551-2025</t>
        </is>
      </c>
      <c r="B11189" s="1" t="n">
        <v>45727.34619212963</v>
      </c>
      <c r="C11189" s="1" t="n">
        <v>46011</v>
      </c>
      <c r="D11189" t="inlineStr">
        <is>
          <t>VÄSTRA GÖTALANDS LÄN</t>
        </is>
      </c>
      <c r="E11189" t="inlineStr">
        <is>
          <t>MARIESTAD</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32051-2023</t>
        </is>
      </c>
      <c r="B11190" s="1" t="n">
        <v>45119.55572916667</v>
      </c>
      <c r="C11190" s="1" t="n">
        <v>46011</v>
      </c>
      <c r="D11190" t="inlineStr">
        <is>
          <t>VÄSTRA GÖTALANDS LÄN</t>
        </is>
      </c>
      <c r="E11190" t="inlineStr">
        <is>
          <t>BORÅS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64606-2023</t>
        </is>
      </c>
      <c r="B11191" s="1" t="n">
        <v>45281.5049537037</v>
      </c>
      <c r="C11191" s="1" t="n">
        <v>46011</v>
      </c>
      <c r="D11191" t="inlineStr">
        <is>
          <t>VÄSTRA GÖTALANDS LÄN</t>
        </is>
      </c>
      <c r="E11191" t="inlineStr">
        <is>
          <t>VÄNERSBORG</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23664-2023</t>
        </is>
      </c>
      <c r="B11192" s="1" t="n">
        <v>45077</v>
      </c>
      <c r="C11192" s="1" t="n">
        <v>46011</v>
      </c>
      <c r="D11192" t="inlineStr">
        <is>
          <t>VÄSTRA GÖTALANDS LÄN</t>
        </is>
      </c>
      <c r="E11192" t="inlineStr">
        <is>
          <t>TÖREBODA</t>
        </is>
      </c>
      <c r="F11192" t="inlineStr">
        <is>
          <t>Övriga Aktiebolag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48071-2024</t>
        </is>
      </c>
      <c r="B11193" s="1" t="n">
        <v>45589</v>
      </c>
      <c r="C11193" s="1" t="n">
        <v>46011</v>
      </c>
      <c r="D11193" t="inlineStr">
        <is>
          <t>VÄSTRA GÖTALANDS LÄN</t>
        </is>
      </c>
      <c r="E11193" t="inlineStr">
        <is>
          <t>STRÖMSTAD</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64733-2023</t>
        </is>
      </c>
      <c r="B11194" s="1" t="n">
        <v>45281.81950231481</v>
      </c>
      <c r="C11194" s="1" t="n">
        <v>46011</v>
      </c>
      <c r="D11194" t="inlineStr">
        <is>
          <t>VÄSTRA GÖTALANDS LÄN</t>
        </is>
      </c>
      <c r="E11194" t="inlineStr">
        <is>
          <t>ULRICEHAMN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7145-2022</t>
        </is>
      </c>
      <c r="B11195" s="1" t="n">
        <v>44603.9146412037</v>
      </c>
      <c r="C11195" s="1" t="n">
        <v>46011</v>
      </c>
      <c r="D11195" t="inlineStr">
        <is>
          <t>VÄSTRA GÖTALANDS LÄN</t>
        </is>
      </c>
      <c r="E11195" t="inlineStr">
        <is>
          <t>SVENLJUNGA</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15428-2025</t>
        </is>
      </c>
      <c r="B11196" s="1" t="n">
        <v>45747.46989583333</v>
      </c>
      <c r="C11196" s="1" t="n">
        <v>46011</v>
      </c>
      <c r="D11196" t="inlineStr">
        <is>
          <t>VÄSTRA GÖTALANDS LÄN</t>
        </is>
      </c>
      <c r="E11196" t="inlineStr">
        <is>
          <t>GÖTENE</t>
        </is>
      </c>
      <c r="G11196" t="n">
        <v>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15434-2025</t>
        </is>
      </c>
      <c r="B11197" s="1" t="n">
        <v>45747.47193287037</v>
      </c>
      <c r="C11197" s="1" t="n">
        <v>46011</v>
      </c>
      <c r="D11197" t="inlineStr">
        <is>
          <t>VÄSTRA GÖTALANDS LÄN</t>
        </is>
      </c>
      <c r="E11197" t="inlineStr">
        <is>
          <t>GÖTENE</t>
        </is>
      </c>
      <c r="G11197" t="n">
        <v>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30664-2022</t>
        </is>
      </c>
      <c r="B11198" s="1" t="n">
        <v>44763</v>
      </c>
      <c r="C11198" s="1" t="n">
        <v>46011</v>
      </c>
      <c r="D11198" t="inlineStr">
        <is>
          <t>VÄSTRA GÖTALANDS LÄN</t>
        </is>
      </c>
      <c r="E11198" t="inlineStr">
        <is>
          <t>ULRICEHAMN</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19691-2024</t>
        </is>
      </c>
      <c r="B11199" s="1" t="n">
        <v>45432</v>
      </c>
      <c r="C11199" s="1" t="n">
        <v>46011</v>
      </c>
      <c r="D11199" t="inlineStr">
        <is>
          <t>VÄSTRA GÖTALANDS LÄN</t>
        </is>
      </c>
      <c r="E11199" t="inlineStr">
        <is>
          <t>BORÅS</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44429-2023</t>
        </is>
      </c>
      <c r="B11200" s="1" t="n">
        <v>45189.35101851852</v>
      </c>
      <c r="C11200" s="1" t="n">
        <v>46011</v>
      </c>
      <c r="D11200" t="inlineStr">
        <is>
          <t>VÄSTRA GÖTALANDS LÄN</t>
        </is>
      </c>
      <c r="E11200" t="inlineStr">
        <is>
          <t>ALE</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42821-2023</t>
        </is>
      </c>
      <c r="B11201" s="1" t="n">
        <v>45182.36564814814</v>
      </c>
      <c r="C11201" s="1" t="n">
        <v>46011</v>
      </c>
      <c r="D11201" t="inlineStr">
        <is>
          <t>VÄSTRA GÖTALANDS LÄN</t>
        </is>
      </c>
      <c r="E11201" t="inlineStr">
        <is>
          <t>DALS-ED</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7892-2024</t>
        </is>
      </c>
      <c r="B11202" s="1" t="n">
        <v>45350.40921296296</v>
      </c>
      <c r="C11202" s="1" t="n">
        <v>46011</v>
      </c>
      <c r="D11202" t="inlineStr">
        <is>
          <t>VÄSTRA GÖTALANDS LÄN</t>
        </is>
      </c>
      <c r="E11202" t="inlineStr">
        <is>
          <t>ALE</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16651-2023</t>
        </is>
      </c>
      <c r="B11203" s="1" t="n">
        <v>45030.51758101852</v>
      </c>
      <c r="C11203" s="1" t="n">
        <v>46011</v>
      </c>
      <c r="D11203" t="inlineStr">
        <is>
          <t>VÄSTRA GÖTALANDS LÄN</t>
        </is>
      </c>
      <c r="E11203" t="inlineStr">
        <is>
          <t>TIDAHOLM</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12584-2022</t>
        </is>
      </c>
      <c r="B11204" s="1" t="n">
        <v>44639.43059027778</v>
      </c>
      <c r="C11204" s="1" t="n">
        <v>46011</v>
      </c>
      <c r="D11204" t="inlineStr">
        <is>
          <t>VÄSTRA GÖTALANDS LÄN</t>
        </is>
      </c>
      <c r="E11204" t="inlineStr">
        <is>
          <t>BORÅS</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22603-2023</t>
        </is>
      </c>
      <c r="B11205" s="1" t="n">
        <v>45071</v>
      </c>
      <c r="C11205" s="1" t="n">
        <v>46011</v>
      </c>
      <c r="D11205" t="inlineStr">
        <is>
          <t>VÄSTRA GÖTALANDS LÄN</t>
        </is>
      </c>
      <c r="E11205" t="inlineStr">
        <is>
          <t>UDDEVALLA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5139-2022</t>
        </is>
      </c>
      <c r="B11206" s="1" t="n">
        <v>44593</v>
      </c>
      <c r="C11206" s="1" t="n">
        <v>46011</v>
      </c>
      <c r="D11206" t="inlineStr">
        <is>
          <t>VÄSTRA GÖTALANDS LÄN</t>
        </is>
      </c>
      <c r="E11206" t="inlineStr">
        <is>
          <t>MUNKEDAL</t>
        </is>
      </c>
      <c r="F11206" t="inlineStr">
        <is>
          <t>Övriga Aktiebolag</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49357-2024</t>
        </is>
      </c>
      <c r="B11207" s="1" t="n">
        <v>45595.61976851852</v>
      </c>
      <c r="C11207" s="1" t="n">
        <v>46011</v>
      </c>
      <c r="D11207" t="inlineStr">
        <is>
          <t>VÄSTRA GÖTALANDS LÄN</t>
        </is>
      </c>
      <c r="E11207" t="inlineStr">
        <is>
          <t>VÅRGÅRDA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40630-2023</t>
        </is>
      </c>
      <c r="B11208" s="1" t="n">
        <v>45170.54494212963</v>
      </c>
      <c r="C11208" s="1" t="n">
        <v>46011</v>
      </c>
      <c r="D11208" t="inlineStr">
        <is>
          <t>VÄSTRA GÖTALANDS LÄN</t>
        </is>
      </c>
      <c r="E11208" t="inlineStr">
        <is>
          <t>FÄRGELANDA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21-2025</t>
        </is>
      </c>
      <c r="B11209" s="1" t="n">
        <v>45658.803125</v>
      </c>
      <c r="C11209" s="1" t="n">
        <v>46011</v>
      </c>
      <c r="D11209" t="inlineStr">
        <is>
          <t>VÄSTRA GÖTALANDS LÄN</t>
        </is>
      </c>
      <c r="E11209" t="inlineStr">
        <is>
          <t>GRÄSTORP</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4954-2024</t>
        </is>
      </c>
      <c r="B11210" s="1" t="n">
        <v>45329</v>
      </c>
      <c r="C11210" s="1" t="n">
        <v>46011</v>
      </c>
      <c r="D11210" t="inlineStr">
        <is>
          <t>VÄSTRA GÖTALANDS LÄN</t>
        </is>
      </c>
      <c r="E11210" t="inlineStr">
        <is>
          <t>ESSUNGA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2053-2025</t>
        </is>
      </c>
      <c r="B11211" s="1" t="n">
        <v>45671</v>
      </c>
      <c r="C11211" s="1" t="n">
        <v>46011</v>
      </c>
      <c r="D11211" t="inlineStr">
        <is>
          <t>VÄSTRA GÖTALANDS LÄN</t>
        </is>
      </c>
      <c r="E11211" t="inlineStr">
        <is>
          <t>LYSEKIL</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3010-2024</t>
        </is>
      </c>
      <c r="B11212" s="1" t="n">
        <v>45315.87491898148</v>
      </c>
      <c r="C11212" s="1" t="n">
        <v>46011</v>
      </c>
      <c r="D11212" t="inlineStr">
        <is>
          <t>VÄSTRA GÖTALANDS LÄN</t>
        </is>
      </c>
      <c r="E11212" t="inlineStr">
        <is>
          <t>FÄRGELANDA</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3021-2024</t>
        </is>
      </c>
      <c r="B11213" s="1" t="n">
        <v>45316.24631944444</v>
      </c>
      <c r="C11213" s="1" t="n">
        <v>46011</v>
      </c>
      <c r="D11213" t="inlineStr">
        <is>
          <t>VÄSTRA GÖTALANDS LÄN</t>
        </is>
      </c>
      <c r="E11213" t="inlineStr">
        <is>
          <t>BORÅS</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3024-2024</t>
        </is>
      </c>
      <c r="B11214" s="1" t="n">
        <v>45316</v>
      </c>
      <c r="C11214" s="1" t="n">
        <v>46011</v>
      </c>
      <c r="D11214" t="inlineStr">
        <is>
          <t>VÄSTRA GÖTALANDS LÄN</t>
        </is>
      </c>
      <c r="E11214" t="inlineStr">
        <is>
          <t>TRANEMO</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75-2025</t>
        </is>
      </c>
      <c r="B11215" s="1" t="n">
        <v>45659</v>
      </c>
      <c r="C11215" s="1" t="n">
        <v>46011</v>
      </c>
      <c r="D11215" t="inlineStr">
        <is>
          <t>VÄSTRA GÖTALANDS LÄN</t>
        </is>
      </c>
      <c r="E11215" t="inlineStr">
        <is>
          <t>TROLLHÄTTAN</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3728-2024</t>
        </is>
      </c>
      <c r="B11216" s="1" t="n">
        <v>45321</v>
      </c>
      <c r="C11216" s="1" t="n">
        <v>46011</v>
      </c>
      <c r="D11216" t="inlineStr">
        <is>
          <t>VÄSTRA GÖTALANDS LÄN</t>
        </is>
      </c>
      <c r="E11216" t="inlineStr">
        <is>
          <t>BORÅS</t>
        </is>
      </c>
      <c r="F11216" t="inlineStr">
        <is>
          <t>Kommuner</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3763-2024</t>
        </is>
      </c>
      <c r="B11217" s="1" t="n">
        <v>45321.55988425926</v>
      </c>
      <c r="C11217" s="1" t="n">
        <v>46011</v>
      </c>
      <c r="D11217" t="inlineStr">
        <is>
          <t>VÄSTRA GÖTALANDS LÄN</t>
        </is>
      </c>
      <c r="E11217" t="inlineStr">
        <is>
          <t>TANUM</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3795-2024</t>
        </is>
      </c>
      <c r="B11218" s="1" t="n">
        <v>45321.62364583334</v>
      </c>
      <c r="C11218" s="1" t="n">
        <v>46011</v>
      </c>
      <c r="D11218" t="inlineStr">
        <is>
          <t>VÄSTRA GÖTALANDS LÄN</t>
        </is>
      </c>
      <c r="E11218" t="inlineStr">
        <is>
          <t>TROLLHÄTTAN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16990-2024</t>
        </is>
      </c>
      <c r="B11219" s="1" t="n">
        <v>45412.32587962963</v>
      </c>
      <c r="C11219" s="1" t="n">
        <v>46011</v>
      </c>
      <c r="D11219" t="inlineStr">
        <is>
          <t>VÄSTRA GÖTALANDS LÄN</t>
        </is>
      </c>
      <c r="E11219" t="inlineStr">
        <is>
          <t>ULRICEHAMN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47912-2023</t>
        </is>
      </c>
      <c r="B11220" s="1" t="n">
        <v>45204.51583333333</v>
      </c>
      <c r="C11220" s="1" t="n">
        <v>46011</v>
      </c>
      <c r="D11220" t="inlineStr">
        <is>
          <t>VÄSTRA GÖTALANDS LÄN</t>
        </is>
      </c>
      <c r="E11220" t="inlineStr">
        <is>
          <t>TIDAHOLM</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51161-2024</t>
        </is>
      </c>
      <c r="B11221" s="1" t="n">
        <v>45603.57903935185</v>
      </c>
      <c r="C11221" s="1" t="n">
        <v>46011</v>
      </c>
      <c r="D11221" t="inlineStr">
        <is>
          <t>VÄSTRA GÖTALANDS LÄN</t>
        </is>
      </c>
      <c r="E11221" t="inlineStr">
        <is>
          <t>ULRICEHAMN</t>
        </is>
      </c>
      <c r="F11221" t="inlineStr">
        <is>
          <t>Kommuner</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51164-2024</t>
        </is>
      </c>
      <c r="B11222" s="1" t="n">
        <v>45603.5830787037</v>
      </c>
      <c r="C11222" s="1" t="n">
        <v>46011</v>
      </c>
      <c r="D11222" t="inlineStr">
        <is>
          <t>VÄSTRA GÖTALANDS LÄN</t>
        </is>
      </c>
      <c r="E11222" t="inlineStr">
        <is>
          <t>ALE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7352-2022</t>
        </is>
      </c>
      <c r="B11223" s="1" t="n">
        <v>44606</v>
      </c>
      <c r="C11223" s="1" t="n">
        <v>46011</v>
      </c>
      <c r="D11223" t="inlineStr">
        <is>
          <t>VÄSTRA GÖTALANDS LÄN</t>
        </is>
      </c>
      <c r="E11223" t="inlineStr">
        <is>
          <t>TANUM</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3110-2024</t>
        </is>
      </c>
      <c r="B11224" s="1" t="n">
        <v>45316</v>
      </c>
      <c r="C11224" s="1" t="n">
        <v>46011</v>
      </c>
      <c r="D11224" t="inlineStr">
        <is>
          <t>VÄSTRA GÖTALANDS LÄN</t>
        </is>
      </c>
      <c r="E11224" t="inlineStr">
        <is>
          <t>ULRICEHAMN</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3162-2024</t>
        </is>
      </c>
      <c r="B11225" s="1" t="n">
        <v>45316.61636574074</v>
      </c>
      <c r="C11225" s="1" t="n">
        <v>46011</v>
      </c>
      <c r="D11225" t="inlineStr">
        <is>
          <t>VÄSTRA GÖTALANDS LÄN</t>
        </is>
      </c>
      <c r="E11225" t="inlineStr">
        <is>
          <t>TRANEMO</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4948-2022</t>
        </is>
      </c>
      <c r="B11226" s="1" t="n">
        <v>44593</v>
      </c>
      <c r="C11226" s="1" t="n">
        <v>46011</v>
      </c>
      <c r="D11226" t="inlineStr">
        <is>
          <t>VÄSTRA GÖTALANDS LÄN</t>
        </is>
      </c>
      <c r="E11226" t="inlineStr">
        <is>
          <t>HERRLJUNGA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23500-2023</t>
        </is>
      </c>
      <c r="B11227" s="1" t="n">
        <v>45076</v>
      </c>
      <c r="C11227" s="1" t="n">
        <v>46011</v>
      </c>
      <c r="D11227" t="inlineStr">
        <is>
          <t>VÄSTRA GÖTALANDS LÄN</t>
        </is>
      </c>
      <c r="E11227" t="inlineStr">
        <is>
          <t>KARLSBORG</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52700-2023</t>
        </is>
      </c>
      <c r="B11228" s="1" t="n">
        <v>45225</v>
      </c>
      <c r="C11228" s="1" t="n">
        <v>46011</v>
      </c>
      <c r="D11228" t="inlineStr">
        <is>
          <t>VÄSTRA GÖTALANDS LÄN</t>
        </is>
      </c>
      <c r="E11228" t="inlineStr">
        <is>
          <t>MARK</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52717-2023</t>
        </is>
      </c>
      <c r="B11229" s="1" t="n">
        <v>45225.86696759259</v>
      </c>
      <c r="C11229" s="1" t="n">
        <v>46011</v>
      </c>
      <c r="D11229" t="inlineStr">
        <is>
          <t>VÄSTRA GÖTALANDS LÄN</t>
        </is>
      </c>
      <c r="E11229" t="inlineStr">
        <is>
          <t>ULRICEHAMN</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46158-2023</t>
        </is>
      </c>
      <c r="B11230" s="1" t="n">
        <v>45196</v>
      </c>
      <c r="C11230" s="1" t="n">
        <v>46011</v>
      </c>
      <c r="D11230" t="inlineStr">
        <is>
          <t>VÄSTRA GÖTALANDS LÄN</t>
        </is>
      </c>
      <c r="E11230" t="inlineStr">
        <is>
          <t>BORÅS</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46185-2023</t>
        </is>
      </c>
      <c r="B11231" s="1" t="n">
        <v>45196</v>
      </c>
      <c r="C11231" s="1" t="n">
        <v>46011</v>
      </c>
      <c r="D11231" t="inlineStr">
        <is>
          <t>VÄSTRA GÖTALANDS LÄN</t>
        </is>
      </c>
      <c r="E11231" t="inlineStr">
        <is>
          <t>SKARA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50581-2023</t>
        </is>
      </c>
      <c r="B11232" s="1" t="n">
        <v>45217.39053240741</v>
      </c>
      <c r="C11232" s="1" t="n">
        <v>46011</v>
      </c>
      <c r="D11232" t="inlineStr">
        <is>
          <t>VÄSTRA GÖTALANDS LÄN</t>
        </is>
      </c>
      <c r="E11232" t="inlineStr">
        <is>
          <t>MARIESTAD</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42677-2023</t>
        </is>
      </c>
      <c r="B11233" s="1" t="n">
        <v>45181</v>
      </c>
      <c r="C11233" s="1" t="n">
        <v>46011</v>
      </c>
      <c r="D11233" t="inlineStr">
        <is>
          <t>VÄSTRA GÖTALANDS LÄN</t>
        </is>
      </c>
      <c r="E11233" t="inlineStr">
        <is>
          <t>ULRICEHAMN</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217-2022</t>
        </is>
      </c>
      <c r="B11234" s="1" t="n">
        <v>44564.85040509259</v>
      </c>
      <c r="C11234" s="1" t="n">
        <v>46011</v>
      </c>
      <c r="D11234" t="inlineStr">
        <is>
          <t>VÄSTRA GÖTALANDS LÄN</t>
        </is>
      </c>
      <c r="E11234" t="inlineStr">
        <is>
          <t>BORÅS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47057-2023</t>
        </is>
      </c>
      <c r="B11235" s="1" t="n">
        <v>45196</v>
      </c>
      <c r="C11235" s="1" t="n">
        <v>46011</v>
      </c>
      <c r="D11235" t="inlineStr">
        <is>
          <t>VÄSTRA GÖTALANDS LÄN</t>
        </is>
      </c>
      <c r="E11235" t="inlineStr">
        <is>
          <t>HERRLJUNGA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44879-2023</t>
        </is>
      </c>
      <c r="B11236" s="1" t="n">
        <v>45190.60921296296</v>
      </c>
      <c r="C11236" s="1" t="n">
        <v>46011</v>
      </c>
      <c r="D11236" t="inlineStr">
        <is>
          <t>VÄSTRA GÖTALANDS LÄN</t>
        </is>
      </c>
      <c r="E11236" t="inlineStr">
        <is>
          <t>BORÅS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50939-2024</t>
        </is>
      </c>
      <c r="B11237" s="1" t="n">
        <v>45602.92913194445</v>
      </c>
      <c r="C11237" s="1" t="n">
        <v>46011</v>
      </c>
      <c r="D11237" t="inlineStr">
        <is>
          <t>VÄSTRA GÖTALANDS LÄN</t>
        </is>
      </c>
      <c r="E11237" t="inlineStr">
        <is>
          <t>VÄNERSBORG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22649-2023</t>
        </is>
      </c>
      <c r="B11238" s="1" t="n">
        <v>45071</v>
      </c>
      <c r="C11238" s="1" t="n">
        <v>46011</v>
      </c>
      <c r="D11238" t="inlineStr">
        <is>
          <t>VÄSTRA GÖTALANDS LÄN</t>
        </is>
      </c>
      <c r="E11238" t="inlineStr">
        <is>
          <t>BENGTSFORS</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50978-2024</t>
        </is>
      </c>
      <c r="B11239" s="1" t="n">
        <v>45603.35983796296</v>
      </c>
      <c r="C11239" s="1" t="n">
        <v>46011</v>
      </c>
      <c r="D11239" t="inlineStr">
        <is>
          <t>VÄSTRA GÖTALANDS LÄN</t>
        </is>
      </c>
      <c r="E11239" t="inlineStr">
        <is>
          <t>FALKÖPING</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18736-2023</t>
        </is>
      </c>
      <c r="B11240" s="1" t="n">
        <v>45043</v>
      </c>
      <c r="C11240" s="1" t="n">
        <v>46011</v>
      </c>
      <c r="D11240" t="inlineStr">
        <is>
          <t>VÄSTRA GÖTALANDS LÄN</t>
        </is>
      </c>
      <c r="E11240" t="inlineStr">
        <is>
          <t>SKARA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43575-2023</t>
        </is>
      </c>
      <c r="B11241" s="1" t="n">
        <v>45181</v>
      </c>
      <c r="C11241" s="1" t="n">
        <v>46011</v>
      </c>
      <c r="D11241" t="inlineStr">
        <is>
          <t>VÄSTRA GÖTALANDS LÄN</t>
        </is>
      </c>
      <c r="E11241" t="inlineStr">
        <is>
          <t>BENGTSFORS</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20239-2021</t>
        </is>
      </c>
      <c r="B11242" s="1" t="n">
        <v>44312</v>
      </c>
      <c r="C11242" s="1" t="n">
        <v>46011</v>
      </c>
      <c r="D11242" t="inlineStr">
        <is>
          <t>VÄSTRA GÖTALANDS LÄN</t>
        </is>
      </c>
      <c r="E11242" t="inlineStr">
        <is>
          <t>BENGTSFORS</t>
        </is>
      </c>
      <c r="F11242" t="inlineStr">
        <is>
          <t>Kyrkan</t>
        </is>
      </c>
      <c r="G11242" t="n">
        <v>23.6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49146-2024</t>
        </is>
      </c>
      <c r="B11243" s="1" t="n">
        <v>45594.7358912037</v>
      </c>
      <c r="C11243" s="1" t="n">
        <v>46011</v>
      </c>
      <c r="D11243" t="inlineStr">
        <is>
          <t>VÄSTRA GÖTALANDS LÄN</t>
        </is>
      </c>
      <c r="E11243" t="inlineStr">
        <is>
          <t>ÅMÅL</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49155-2024</t>
        </is>
      </c>
      <c r="B11244" s="1" t="n">
        <v>45594.82305555556</v>
      </c>
      <c r="C11244" s="1" t="n">
        <v>46011</v>
      </c>
      <c r="D11244" t="inlineStr">
        <is>
          <t>VÄSTRA GÖTALANDS LÄN</t>
        </is>
      </c>
      <c r="E11244" t="inlineStr">
        <is>
          <t>TIDAHOLM</t>
        </is>
      </c>
      <c r="G11244" t="n">
        <v>8.800000000000001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1196-2025</t>
        </is>
      </c>
      <c r="B11245" s="1" t="n">
        <v>45666</v>
      </c>
      <c r="C11245" s="1" t="n">
        <v>46011</v>
      </c>
      <c r="D11245" t="inlineStr">
        <is>
          <t>VÄSTRA GÖTALANDS LÄN</t>
        </is>
      </c>
      <c r="E11245" t="inlineStr">
        <is>
          <t>GULLSPÅNG</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2452-2025</t>
        </is>
      </c>
      <c r="B11246" s="1" t="n">
        <v>45674.44443287037</v>
      </c>
      <c r="C11246" s="1" t="n">
        <v>46011</v>
      </c>
      <c r="D11246" t="inlineStr">
        <is>
          <t>VÄSTRA GÖTALANDS LÄN</t>
        </is>
      </c>
      <c r="E11246" t="inlineStr">
        <is>
          <t>DALS-ED</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2488-2025</t>
        </is>
      </c>
      <c r="B11247" s="1" t="n">
        <v>45673</v>
      </c>
      <c r="C11247" s="1" t="n">
        <v>46011</v>
      </c>
      <c r="D11247" t="inlineStr">
        <is>
          <t>VÄSTRA GÖTALANDS LÄN</t>
        </is>
      </c>
      <c r="E11247" t="inlineStr">
        <is>
          <t>TANUM</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20190-2022</t>
        </is>
      </c>
      <c r="B11248" s="1" t="n">
        <v>44698</v>
      </c>
      <c r="C11248" s="1" t="n">
        <v>46011</v>
      </c>
      <c r="D11248" t="inlineStr">
        <is>
          <t>VÄSTRA GÖTALANDS LÄN</t>
        </is>
      </c>
      <c r="E11248" t="inlineStr">
        <is>
          <t>TANUM</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35939-2022</t>
        </is>
      </c>
      <c r="B11249" s="1" t="n">
        <v>44802</v>
      </c>
      <c r="C11249" s="1" t="n">
        <v>46011</v>
      </c>
      <c r="D11249" t="inlineStr">
        <is>
          <t>VÄSTRA GÖTALANDS LÄN</t>
        </is>
      </c>
      <c r="E11249" t="inlineStr">
        <is>
          <t>FALKÖPING</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16534-2024</t>
        </is>
      </c>
      <c r="B11250" s="1" t="n">
        <v>45408.43065972222</v>
      </c>
      <c r="C11250" s="1" t="n">
        <v>46011</v>
      </c>
      <c r="D11250" t="inlineStr">
        <is>
          <t>VÄSTRA GÖTALANDS LÄN</t>
        </is>
      </c>
      <c r="E11250" t="inlineStr">
        <is>
          <t>BOLLEBYGD</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44884-2024</t>
        </is>
      </c>
      <c r="B11251" s="1" t="n">
        <v>45575.35196759259</v>
      </c>
      <c r="C11251" s="1" t="n">
        <v>46011</v>
      </c>
      <c r="D11251" t="inlineStr">
        <is>
          <t>VÄSTRA GÖTALANDS LÄN</t>
        </is>
      </c>
      <c r="E11251" t="inlineStr">
        <is>
          <t>ULRICEHAMN</t>
        </is>
      </c>
      <c r="F11251" t="inlineStr">
        <is>
          <t>Sveaskog</t>
        </is>
      </c>
      <c r="G11251" t="n">
        <v>11.6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45159-2022</t>
        </is>
      </c>
      <c r="B11252" s="1" t="n">
        <v>44844.36292824074</v>
      </c>
      <c r="C11252" s="1" t="n">
        <v>46011</v>
      </c>
      <c r="D11252" t="inlineStr">
        <is>
          <t>VÄSTRA GÖTALANDS LÄN</t>
        </is>
      </c>
      <c r="E11252" t="inlineStr">
        <is>
          <t>SKARA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4362-2024</t>
        </is>
      </c>
      <c r="B11253" s="1" t="n">
        <v>45325</v>
      </c>
      <c r="C11253" s="1" t="n">
        <v>46011</v>
      </c>
      <c r="D11253" t="inlineStr">
        <is>
          <t>VÄSTRA GÖTALANDS LÄN</t>
        </is>
      </c>
      <c r="E11253" t="inlineStr">
        <is>
          <t>MUNKEDAL</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4427-2024</t>
        </is>
      </c>
      <c r="B11254" s="1" t="n">
        <v>45327.46177083333</v>
      </c>
      <c r="C11254" s="1" t="n">
        <v>46011</v>
      </c>
      <c r="D11254" t="inlineStr">
        <is>
          <t>VÄSTRA GÖTALANDS LÄN</t>
        </is>
      </c>
      <c r="E11254" t="inlineStr">
        <is>
          <t>BENGTSFORS</t>
        </is>
      </c>
      <c r="G11254" t="n">
        <v>1.2</v>
      </c>
      <c r="H11254" t="n">
        <v>0</v>
      </c>
      <c r="I11254" t="n">
        <v>0</v>
      </c>
      <c r="J11254" t="n">
        <v>0</v>
      </c>
      <c r="K11254" t="n">
        <v>0</v>
      </c>
      <c r="L11254" t="n">
        <v>0</v>
      </c>
      <c r="M11254" t="n">
        <v>0</v>
      </c>
      <c r="N11254" t="n">
        <v>0</v>
      </c>
      <c r="O11254" t="n">
        <v>0</v>
      </c>
      <c r="P11254" t="n">
        <v>0</v>
      </c>
      <c r="Q11254" t="n">
        <v>0</v>
      </c>
      <c r="R11254" s="2" t="inlineStr"/>
      <c r="U11254">
        <f>HYPERLINK("https://klasma.github.io/Logging_1460/knärot/A 4427-2024 karta knärot.png", "A 4427-2024")</f>
        <v/>
      </c>
      <c r="V11254">
        <f>HYPERLINK("https://klasma.github.io/Logging_1460/klagomål/A 4427-2024 FSC-klagomål.docx", "A 4427-2024")</f>
        <v/>
      </c>
      <c r="W11254">
        <f>HYPERLINK("https://klasma.github.io/Logging_1460/klagomålsmail/A 4427-2024 FSC-klagomål mail.docx", "A 4427-2024")</f>
        <v/>
      </c>
      <c r="X11254">
        <f>HYPERLINK("https://klasma.github.io/Logging_1460/tillsyn/A 4427-2024 tillsynsbegäran.docx", "A 4427-2024")</f>
        <v/>
      </c>
      <c r="Y11254">
        <f>HYPERLINK("https://klasma.github.io/Logging_1460/tillsynsmail/A 4427-2024 tillsynsbegäran mail.docx", "A 4427-2024")</f>
        <v/>
      </c>
    </row>
    <row r="11255" ht="15" customHeight="1">
      <c r="A11255" t="inlineStr">
        <is>
          <t>A 4444-2024</t>
        </is>
      </c>
      <c r="B11255" s="1" t="n">
        <v>45327</v>
      </c>
      <c r="C11255" s="1" t="n">
        <v>46011</v>
      </c>
      <c r="D11255" t="inlineStr">
        <is>
          <t>VÄSTRA GÖTALANDS LÄN</t>
        </is>
      </c>
      <c r="E11255" t="inlineStr">
        <is>
          <t>ALE</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7267-2024</t>
        </is>
      </c>
      <c r="B11256" s="1" t="n">
        <v>45344.83107638889</v>
      </c>
      <c r="C11256" s="1" t="n">
        <v>46011</v>
      </c>
      <c r="D11256" t="inlineStr">
        <is>
          <t>VÄSTRA GÖTALANDS LÄN</t>
        </is>
      </c>
      <c r="E11256" t="inlineStr">
        <is>
          <t>ULRICEHAMN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47507-2023</t>
        </is>
      </c>
      <c r="B11257" s="1" t="n">
        <v>45203.29027777778</v>
      </c>
      <c r="C11257" s="1" t="n">
        <v>46011</v>
      </c>
      <c r="D11257" t="inlineStr">
        <is>
          <t>VÄSTRA GÖTALANDS LÄN</t>
        </is>
      </c>
      <c r="E11257" t="inlineStr">
        <is>
          <t>TROLLHÄTTAN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29930-2023</t>
        </is>
      </c>
      <c r="B11258" s="1" t="n">
        <v>45107</v>
      </c>
      <c r="C11258" s="1" t="n">
        <v>46011</v>
      </c>
      <c r="D11258" t="inlineStr">
        <is>
          <t>VÄSTRA GÖTALANDS LÄN</t>
        </is>
      </c>
      <c r="E11258" t="inlineStr">
        <is>
          <t>TANUM</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40988-2023</t>
        </is>
      </c>
      <c r="B11259" s="1" t="n">
        <v>45173.51109953703</v>
      </c>
      <c r="C11259" s="1" t="n">
        <v>46011</v>
      </c>
      <c r="D11259" t="inlineStr">
        <is>
          <t>VÄSTRA GÖTALANDS LÄN</t>
        </is>
      </c>
      <c r="E11259" t="inlineStr">
        <is>
          <t>ULRICEHAMN</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19294-2022</t>
        </is>
      </c>
      <c r="B11260" s="1" t="n">
        <v>44692</v>
      </c>
      <c r="C11260" s="1" t="n">
        <v>46011</v>
      </c>
      <c r="D11260" t="inlineStr">
        <is>
          <t>VÄSTRA GÖTALANDS LÄN</t>
        </is>
      </c>
      <c r="E11260" t="inlineStr">
        <is>
          <t>BENGTSFORS</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8724-2024</t>
        </is>
      </c>
      <c r="B11261" s="1" t="n">
        <v>45356.4206712963</v>
      </c>
      <c r="C11261" s="1" t="n">
        <v>46011</v>
      </c>
      <c r="D11261" t="inlineStr">
        <is>
          <t>VÄSTRA GÖTALANDS LÄN</t>
        </is>
      </c>
      <c r="E11261" t="inlineStr">
        <is>
          <t>TIDAHOLM</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11354-2025</t>
        </is>
      </c>
      <c r="B11262" s="1" t="n">
        <v>45726.52478009259</v>
      </c>
      <c r="C11262" s="1" t="n">
        <v>46011</v>
      </c>
      <c r="D11262" t="inlineStr">
        <is>
          <t>VÄSTRA GÖTALANDS LÄN</t>
        </is>
      </c>
      <c r="E11262" t="inlineStr">
        <is>
          <t>SVENLJUNGA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13785-2022</t>
        </is>
      </c>
      <c r="B11263" s="1" t="n">
        <v>44649.54094907407</v>
      </c>
      <c r="C11263" s="1" t="n">
        <v>46011</v>
      </c>
      <c r="D11263" t="inlineStr">
        <is>
          <t>VÄSTRA GÖTALANDS LÄN</t>
        </is>
      </c>
      <c r="E11263" t="inlineStr">
        <is>
          <t>TRANEMO</t>
        </is>
      </c>
      <c r="G11263" t="n">
        <v>8.1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13798-2022</t>
        </is>
      </c>
      <c r="B11264" s="1" t="n">
        <v>44649.55983796297</v>
      </c>
      <c r="C11264" s="1" t="n">
        <v>46011</v>
      </c>
      <c r="D11264" t="inlineStr">
        <is>
          <t>VÄSTRA GÖTALANDS LÄN</t>
        </is>
      </c>
      <c r="E11264" t="inlineStr">
        <is>
          <t>MARIESTAD</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11366-2025</t>
        </is>
      </c>
      <c r="B11265" s="1" t="n">
        <v>45726.54515046296</v>
      </c>
      <c r="C11265" s="1" t="n">
        <v>46011</v>
      </c>
      <c r="D11265" t="inlineStr">
        <is>
          <t>VÄSTRA GÖTALANDS LÄN</t>
        </is>
      </c>
      <c r="E11265" t="inlineStr">
        <is>
          <t>SVENLJUNGA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40508-2023</t>
        </is>
      </c>
      <c r="B11266" s="1" t="n">
        <v>45170.40796296296</v>
      </c>
      <c r="C11266" s="1" t="n">
        <v>46011</v>
      </c>
      <c r="D11266" t="inlineStr">
        <is>
          <t>VÄSTRA GÖTALANDS LÄN</t>
        </is>
      </c>
      <c r="E11266" t="inlineStr">
        <is>
          <t>GULLSPÅNG</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1922-2025</t>
        </is>
      </c>
      <c r="B11267" s="1" t="n">
        <v>45671.69181712963</v>
      </c>
      <c r="C11267" s="1" t="n">
        <v>46011</v>
      </c>
      <c r="D11267" t="inlineStr">
        <is>
          <t>VÄSTRA GÖTALANDS LÄN</t>
        </is>
      </c>
      <c r="E11267" t="inlineStr">
        <is>
          <t>BORÅS</t>
        </is>
      </c>
      <c r="F11267" t="inlineStr">
        <is>
          <t>Kyrkan</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1954-2025</t>
        </is>
      </c>
      <c r="B11268" s="1" t="n">
        <v>45671</v>
      </c>
      <c r="C11268" s="1" t="n">
        <v>46011</v>
      </c>
      <c r="D11268" t="inlineStr">
        <is>
          <t>VÄSTRA GÖTALANDS LÄN</t>
        </is>
      </c>
      <c r="E11268" t="inlineStr">
        <is>
          <t>ÅMÅL</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1981-2025</t>
        </is>
      </c>
      <c r="B11269" s="1" t="n">
        <v>45665</v>
      </c>
      <c r="C11269" s="1" t="n">
        <v>46011</v>
      </c>
      <c r="D11269" t="inlineStr">
        <is>
          <t>VÄSTRA GÖTALANDS LÄN</t>
        </is>
      </c>
      <c r="E11269" t="inlineStr">
        <is>
          <t>TÖREBODA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8182-2024</t>
        </is>
      </c>
      <c r="B11270" s="1" t="n">
        <v>45351.63769675926</v>
      </c>
      <c r="C11270" s="1" t="n">
        <v>46011</v>
      </c>
      <c r="D11270" t="inlineStr">
        <is>
          <t>VÄSTRA GÖTALANDS LÄN</t>
        </is>
      </c>
      <c r="E11270" t="inlineStr">
        <is>
          <t>BORÅS</t>
        </is>
      </c>
      <c r="G11270" t="n">
        <v>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55255-2024</t>
        </is>
      </c>
      <c r="B11271" s="1" t="n">
        <v>45621.59979166667</v>
      </c>
      <c r="C11271" s="1" t="n">
        <v>46011</v>
      </c>
      <c r="D11271" t="inlineStr">
        <is>
          <t>VÄSTRA GÖTALANDS LÄN</t>
        </is>
      </c>
      <c r="E11271" t="inlineStr">
        <is>
          <t>TANUM</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39145-2023</t>
        </is>
      </c>
      <c r="B11272" s="1" t="n">
        <v>45166</v>
      </c>
      <c r="C11272" s="1" t="n">
        <v>46011</v>
      </c>
      <c r="D11272" t="inlineStr">
        <is>
          <t>VÄSTRA GÖTALANDS LÄN</t>
        </is>
      </c>
      <c r="E11272" t="inlineStr">
        <is>
          <t>ULRICEHAMN</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11147-2022</t>
        </is>
      </c>
      <c r="B11273" s="1" t="n">
        <v>44629</v>
      </c>
      <c r="C11273" s="1" t="n">
        <v>46011</v>
      </c>
      <c r="D11273" t="inlineStr">
        <is>
          <t>VÄSTRA GÖTALANDS LÄN</t>
        </is>
      </c>
      <c r="E11273" t="inlineStr">
        <is>
          <t>MARIESTAD</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11265-2022</t>
        </is>
      </c>
      <c r="B11274" s="1" t="n">
        <v>44629.68885416666</v>
      </c>
      <c r="C11274" s="1" t="n">
        <v>46011</v>
      </c>
      <c r="D11274" t="inlineStr">
        <is>
          <t>VÄSTRA GÖTALANDS LÄN</t>
        </is>
      </c>
      <c r="E11274" t="inlineStr">
        <is>
          <t>BENGTSFORS</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51785-2023</t>
        </is>
      </c>
      <c r="B11275" s="1" t="n">
        <v>45222</v>
      </c>
      <c r="C11275" s="1" t="n">
        <v>46011</v>
      </c>
      <c r="D11275" t="inlineStr">
        <is>
          <t>VÄSTRA GÖTALANDS LÄN</t>
        </is>
      </c>
      <c r="E11275" t="inlineStr">
        <is>
          <t>MELLERUD</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41865-2023</t>
        </is>
      </c>
      <c r="B11276" s="1" t="n">
        <v>45176.6408912037</v>
      </c>
      <c r="C11276" s="1" t="n">
        <v>46011</v>
      </c>
      <c r="D11276" t="inlineStr">
        <is>
          <t>VÄSTRA GÖTALANDS LÄN</t>
        </is>
      </c>
      <c r="E11276" t="inlineStr">
        <is>
          <t>BENGTSFORS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17010-2022</t>
        </is>
      </c>
      <c r="B11277" s="1" t="n">
        <v>44676.67267361111</v>
      </c>
      <c r="C11277" s="1" t="n">
        <v>46011</v>
      </c>
      <c r="D11277" t="inlineStr">
        <is>
          <t>VÄSTRA GÖTALANDS LÄN</t>
        </is>
      </c>
      <c r="E11277" t="inlineStr">
        <is>
          <t>GÖTENE</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24449-2023</t>
        </is>
      </c>
      <c r="B11278" s="1" t="n">
        <v>45076</v>
      </c>
      <c r="C11278" s="1" t="n">
        <v>46011</v>
      </c>
      <c r="D11278" t="inlineStr">
        <is>
          <t>VÄSTRA GÖTALANDS LÄN</t>
        </is>
      </c>
      <c r="E11278" t="inlineStr">
        <is>
          <t>MARK</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24475-2023</t>
        </is>
      </c>
      <c r="B11279" s="1" t="n">
        <v>45082</v>
      </c>
      <c r="C11279" s="1" t="n">
        <v>46011</v>
      </c>
      <c r="D11279" t="inlineStr">
        <is>
          <t>VÄSTRA GÖTALANDS LÄN</t>
        </is>
      </c>
      <c r="E11279" t="inlineStr">
        <is>
          <t>HERRLJUNGA</t>
        </is>
      </c>
      <c r="F11279" t="inlineStr">
        <is>
          <t>Sveaskog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43604-2024</t>
        </is>
      </c>
      <c r="B11280" s="1" t="n">
        <v>45569.44895833333</v>
      </c>
      <c r="C11280" s="1" t="n">
        <v>46011</v>
      </c>
      <c r="D11280" t="inlineStr">
        <is>
          <t>VÄSTRA GÖTALANDS LÄN</t>
        </is>
      </c>
      <c r="E11280" t="inlineStr">
        <is>
          <t>TROLLHÄTTAN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20031-2025</t>
        </is>
      </c>
      <c r="B11281" s="1" t="n">
        <v>45772</v>
      </c>
      <c r="C11281" s="1" t="n">
        <v>46011</v>
      </c>
      <c r="D11281" t="inlineStr">
        <is>
          <t>VÄSTRA GÖTALANDS LÄN</t>
        </is>
      </c>
      <c r="E11281" t="inlineStr">
        <is>
          <t>LILLA EDET</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3998-2025</t>
        </is>
      </c>
      <c r="B11282" s="1" t="n">
        <v>45684.56761574074</v>
      </c>
      <c r="C11282" s="1" t="n">
        <v>46011</v>
      </c>
      <c r="D11282" t="inlineStr">
        <is>
          <t>VÄSTRA GÖTALANDS LÄN</t>
        </is>
      </c>
      <c r="E11282" t="inlineStr">
        <is>
          <t>MELLERUD</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3999-2025</t>
        </is>
      </c>
      <c r="B11283" s="1" t="n">
        <v>45684.56788194444</v>
      </c>
      <c r="C11283" s="1" t="n">
        <v>46011</v>
      </c>
      <c r="D11283" t="inlineStr">
        <is>
          <t>VÄSTRA GÖTALANDS LÄN</t>
        </is>
      </c>
      <c r="E11283" t="inlineStr">
        <is>
          <t>MELLERUD</t>
        </is>
      </c>
      <c r="G11283" t="n">
        <v>12.1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4016-2025</t>
        </is>
      </c>
      <c r="B11284" s="1" t="n">
        <v>45684.58253472222</v>
      </c>
      <c r="C11284" s="1" t="n">
        <v>46011</v>
      </c>
      <c r="D11284" t="inlineStr">
        <is>
          <t>VÄSTRA GÖTALANDS LÄN</t>
        </is>
      </c>
      <c r="E11284" t="inlineStr">
        <is>
          <t>MELLERUD</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43690-2024</t>
        </is>
      </c>
      <c r="B11285" s="1" t="n">
        <v>45569.58503472222</v>
      </c>
      <c r="C11285" s="1" t="n">
        <v>46011</v>
      </c>
      <c r="D11285" t="inlineStr">
        <is>
          <t>VÄSTRA GÖTALANDS LÄN</t>
        </is>
      </c>
      <c r="E11285" t="inlineStr">
        <is>
          <t>BORÅS</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6464-2022</t>
        </is>
      </c>
      <c r="B11286" s="1" t="n">
        <v>44601.37392361111</v>
      </c>
      <c r="C11286" s="1" t="n">
        <v>46011</v>
      </c>
      <c r="D11286" t="inlineStr">
        <is>
          <t>VÄSTRA GÖTALANDS LÄN</t>
        </is>
      </c>
      <c r="E11286" t="inlineStr">
        <is>
          <t>DALS-ED</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5382-2024</t>
        </is>
      </c>
      <c r="B11287" s="1" t="n">
        <v>45330</v>
      </c>
      <c r="C11287" s="1" t="n">
        <v>46011</v>
      </c>
      <c r="D11287" t="inlineStr">
        <is>
          <t>VÄSTRA GÖTALANDS LÄN</t>
        </is>
      </c>
      <c r="E11287" t="inlineStr">
        <is>
          <t>ALINGSÅS</t>
        </is>
      </c>
      <c r="F11287" t="inlineStr">
        <is>
          <t>Övriga Aktiebolag</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400-2025</t>
        </is>
      </c>
      <c r="B11288" s="1" t="n">
        <v>45663.57771990741</v>
      </c>
      <c r="C11288" s="1" t="n">
        <v>46011</v>
      </c>
      <c r="D11288" t="inlineStr">
        <is>
          <t>VÄSTRA GÖTALANDS LÄN</t>
        </is>
      </c>
      <c r="E11288" t="inlineStr">
        <is>
          <t>BENGTSFORS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3592-2025</t>
        </is>
      </c>
      <c r="B11289" s="1" t="n">
        <v>45679</v>
      </c>
      <c r="C11289" s="1" t="n">
        <v>46011</v>
      </c>
      <c r="D11289" t="inlineStr">
        <is>
          <t>VÄSTRA GÖTALANDS LÄN</t>
        </is>
      </c>
      <c r="E11289" t="inlineStr">
        <is>
          <t>HERRLJUNGA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11493-2024</t>
        </is>
      </c>
      <c r="B11290" s="1" t="n">
        <v>45372.64321759259</v>
      </c>
      <c r="C11290" s="1" t="n">
        <v>46011</v>
      </c>
      <c r="D11290" t="inlineStr">
        <is>
          <t>VÄSTRA GÖTALANDS LÄN</t>
        </is>
      </c>
      <c r="E11290" t="inlineStr">
        <is>
          <t>MARK</t>
        </is>
      </c>
      <c r="F11290" t="inlineStr">
        <is>
          <t>Sveaskog</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39689-2023</t>
        </is>
      </c>
      <c r="B11291" s="1" t="n">
        <v>45167.5919212963</v>
      </c>
      <c r="C11291" s="1" t="n">
        <v>46011</v>
      </c>
      <c r="D11291" t="inlineStr">
        <is>
          <t>VÄSTRA GÖTALANDS LÄN</t>
        </is>
      </c>
      <c r="E11291" t="inlineStr">
        <is>
          <t>SVENLJUNGA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41937-2024</t>
        </is>
      </c>
      <c r="B11292" s="1" t="n">
        <v>45561.57283564815</v>
      </c>
      <c r="C11292" s="1" t="n">
        <v>46011</v>
      </c>
      <c r="D11292" t="inlineStr">
        <is>
          <t>VÄSTRA GÖTALANDS LÄN</t>
        </is>
      </c>
      <c r="E11292" t="inlineStr">
        <is>
          <t>KARLSBORG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44167-2024</t>
        </is>
      </c>
      <c r="B11293" s="1" t="n">
        <v>45572.73627314815</v>
      </c>
      <c r="C11293" s="1" t="n">
        <v>46011</v>
      </c>
      <c r="D11293" t="inlineStr">
        <is>
          <t>VÄSTRA GÖTALANDS LÄN</t>
        </is>
      </c>
      <c r="E11293" t="inlineStr">
        <is>
          <t>TRANEMO</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34591-2022</t>
        </is>
      </c>
      <c r="B11294" s="1" t="n">
        <v>44795.3778587963</v>
      </c>
      <c r="C11294" s="1" t="n">
        <v>46011</v>
      </c>
      <c r="D11294" t="inlineStr">
        <is>
          <t>VÄSTRA GÖTALANDS LÄN</t>
        </is>
      </c>
      <c r="E11294" t="inlineStr">
        <is>
          <t>TJÖRN</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20819-2023</t>
        </is>
      </c>
      <c r="B11295" s="1" t="n">
        <v>45058</v>
      </c>
      <c r="C11295" s="1" t="n">
        <v>46011</v>
      </c>
      <c r="D11295" t="inlineStr">
        <is>
          <t>VÄSTRA GÖTALANDS LÄN</t>
        </is>
      </c>
      <c r="E11295" t="inlineStr">
        <is>
          <t>ORUST</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26084-2023</t>
        </is>
      </c>
      <c r="B11296" s="1" t="n">
        <v>45091</v>
      </c>
      <c r="C11296" s="1" t="n">
        <v>46011</v>
      </c>
      <c r="D11296" t="inlineStr">
        <is>
          <t>VÄSTRA GÖTALANDS LÄN</t>
        </is>
      </c>
      <c r="E11296" t="inlineStr">
        <is>
          <t>SKARA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26108-2023</t>
        </is>
      </c>
      <c r="B11297" s="1" t="n">
        <v>45091</v>
      </c>
      <c r="C11297" s="1" t="n">
        <v>46011</v>
      </c>
      <c r="D11297" t="inlineStr">
        <is>
          <t>VÄSTRA GÖTALANDS LÄN</t>
        </is>
      </c>
      <c r="E11297" t="inlineStr">
        <is>
          <t>FÄRGELANDA</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13660-2025</t>
        </is>
      </c>
      <c r="B11298" s="1" t="n">
        <v>45736</v>
      </c>
      <c r="C11298" s="1" t="n">
        <v>46011</v>
      </c>
      <c r="D11298" t="inlineStr">
        <is>
          <t>VÄSTRA GÖTALANDS LÄN</t>
        </is>
      </c>
      <c r="E11298" t="inlineStr">
        <is>
          <t>MUNKEDAL</t>
        </is>
      </c>
      <c r="F11298" t="inlineStr">
        <is>
          <t>Övriga Aktiebolag</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13661-2025</t>
        </is>
      </c>
      <c r="B11299" s="1" t="n">
        <v>45736</v>
      </c>
      <c r="C11299" s="1" t="n">
        <v>46011</v>
      </c>
      <c r="D11299" t="inlineStr">
        <is>
          <t>VÄSTRA GÖTALANDS LÄN</t>
        </is>
      </c>
      <c r="E11299" t="inlineStr">
        <is>
          <t>MUNKEDAL</t>
        </is>
      </c>
      <c r="F11299" t="inlineStr">
        <is>
          <t>Övriga Aktiebolag</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13668-2025</t>
        </is>
      </c>
      <c r="B11300" s="1" t="n">
        <v>45736.85403935185</v>
      </c>
      <c r="C11300" s="1" t="n">
        <v>46011</v>
      </c>
      <c r="D11300" t="inlineStr">
        <is>
          <t>VÄSTRA GÖTALANDS LÄN</t>
        </is>
      </c>
      <c r="E11300" t="inlineStr">
        <is>
          <t>TRANEMO</t>
        </is>
      </c>
      <c r="G11300" t="n">
        <v>11.4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18536-2025</t>
        </is>
      </c>
      <c r="B11301" s="1" t="n">
        <v>45763.40989583333</v>
      </c>
      <c r="C11301" s="1" t="n">
        <v>46011</v>
      </c>
      <c r="D11301" t="inlineStr">
        <is>
          <t>VÄSTRA GÖTALANDS LÄN</t>
        </is>
      </c>
      <c r="E11301" t="inlineStr">
        <is>
          <t>DALS-ED</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18600-2025</t>
        </is>
      </c>
      <c r="B11302" s="1" t="n">
        <v>45763.49094907408</v>
      </c>
      <c r="C11302" s="1" t="n">
        <v>46011</v>
      </c>
      <c r="D11302" t="inlineStr">
        <is>
          <t>VÄSTRA GÖTALANDS LÄN</t>
        </is>
      </c>
      <c r="E11302" t="inlineStr">
        <is>
          <t>MARK</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52268-2024</t>
        </is>
      </c>
      <c r="B11303" s="1" t="n">
        <v>45608.65652777778</v>
      </c>
      <c r="C11303" s="1" t="n">
        <v>46011</v>
      </c>
      <c r="D11303" t="inlineStr">
        <is>
          <t>VÄSTRA GÖTALANDS LÄN</t>
        </is>
      </c>
      <c r="E11303" t="inlineStr">
        <is>
          <t>BORÅS</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11345-2024</t>
        </is>
      </c>
      <c r="B11304" s="1" t="n">
        <v>45372.315625</v>
      </c>
      <c r="C11304" s="1" t="n">
        <v>46011</v>
      </c>
      <c r="D11304" t="inlineStr">
        <is>
          <t>VÄSTRA GÖTALANDS LÄN</t>
        </is>
      </c>
      <c r="E11304" t="inlineStr">
        <is>
          <t>GRÄSTORP</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10410-2022</t>
        </is>
      </c>
      <c r="B11305" s="1" t="n">
        <v>44623.45605324074</v>
      </c>
      <c r="C11305" s="1" t="n">
        <v>46011</v>
      </c>
      <c r="D11305" t="inlineStr">
        <is>
          <t>VÄSTRA GÖTALANDS LÄN</t>
        </is>
      </c>
      <c r="E11305" t="inlineStr">
        <is>
          <t>LERUM</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40856-2024</t>
        </is>
      </c>
      <c r="B11306" s="1" t="n">
        <v>45558.58530092592</v>
      </c>
      <c r="C11306" s="1" t="n">
        <v>46011</v>
      </c>
      <c r="D11306" t="inlineStr">
        <is>
          <t>VÄSTRA GÖTALANDS LÄN</t>
        </is>
      </c>
      <c r="E11306" t="inlineStr">
        <is>
          <t>BENGTSFORS</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26146-2023</t>
        </is>
      </c>
      <c r="B11307" s="1" t="n">
        <v>45091.48631944445</v>
      </c>
      <c r="C11307" s="1" t="n">
        <v>46011</v>
      </c>
      <c r="D11307" t="inlineStr">
        <is>
          <t>VÄSTRA GÖTALANDS LÄN</t>
        </is>
      </c>
      <c r="E11307" t="inlineStr">
        <is>
          <t>SVENLJUNGA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26163-2023</t>
        </is>
      </c>
      <c r="B11308" s="1" t="n">
        <v>45091</v>
      </c>
      <c r="C11308" s="1" t="n">
        <v>46011</v>
      </c>
      <c r="D11308" t="inlineStr">
        <is>
          <t>VÄSTRA GÖTALANDS LÄN</t>
        </is>
      </c>
      <c r="E11308" t="inlineStr">
        <is>
          <t>FALKÖPING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45518-2023</t>
        </is>
      </c>
      <c r="B11309" s="1" t="n">
        <v>45194.4964699074</v>
      </c>
      <c r="C11309" s="1" t="n">
        <v>46011</v>
      </c>
      <c r="D11309" t="inlineStr">
        <is>
          <t>VÄSTRA GÖTALANDS LÄN</t>
        </is>
      </c>
      <c r="E11309" t="inlineStr">
        <is>
          <t>HERRLJUNGA</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19868-2023</t>
        </is>
      </c>
      <c r="B11310" s="1" t="n">
        <v>45054</v>
      </c>
      <c r="C11310" s="1" t="n">
        <v>46011</v>
      </c>
      <c r="D11310" t="inlineStr">
        <is>
          <t>VÄSTRA GÖTALANDS LÄN</t>
        </is>
      </c>
      <c r="E11310" t="inlineStr">
        <is>
          <t>BENGTSFORS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19872-2023</t>
        </is>
      </c>
      <c r="B11311" s="1" t="n">
        <v>45054</v>
      </c>
      <c r="C11311" s="1" t="n">
        <v>46011</v>
      </c>
      <c r="D11311" t="inlineStr">
        <is>
          <t>VÄSTRA GÖTALANDS LÄN</t>
        </is>
      </c>
      <c r="E11311" t="inlineStr">
        <is>
          <t>MELLERUD</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46910-2023</t>
        </is>
      </c>
      <c r="B11312" s="1" t="n">
        <v>45201.37782407407</v>
      </c>
      <c r="C11312" s="1" t="n">
        <v>46011</v>
      </c>
      <c r="D11312" t="inlineStr">
        <is>
          <t>VÄSTRA GÖTALANDS LÄN</t>
        </is>
      </c>
      <c r="E11312" t="inlineStr">
        <is>
          <t>ULRICEHAMN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48338-2024</t>
        </is>
      </c>
      <c r="B11313" s="1" t="n">
        <v>45590.54170138889</v>
      </c>
      <c r="C11313" s="1" t="n">
        <v>46011</v>
      </c>
      <c r="D11313" t="inlineStr">
        <is>
          <t>VÄSTRA GÖTALANDS LÄN</t>
        </is>
      </c>
      <c r="E11313" t="inlineStr">
        <is>
          <t>SKÖVDE</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58895-2024</t>
        </is>
      </c>
      <c r="B11314" s="1" t="n">
        <v>45636.46734953704</v>
      </c>
      <c r="C11314" s="1" t="n">
        <v>46011</v>
      </c>
      <c r="D11314" t="inlineStr">
        <is>
          <t>VÄSTRA GÖTALANDS LÄN</t>
        </is>
      </c>
      <c r="E11314" t="inlineStr">
        <is>
          <t>BORÅS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58905-2024</t>
        </is>
      </c>
      <c r="B11315" s="1" t="n">
        <v>45636.47851851852</v>
      </c>
      <c r="C11315" s="1" t="n">
        <v>46011</v>
      </c>
      <c r="D11315" t="inlineStr">
        <is>
          <t>VÄSTRA GÖTALANDS LÄN</t>
        </is>
      </c>
      <c r="E11315" t="inlineStr">
        <is>
          <t>SVENLJUNGA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59419-2024</t>
        </is>
      </c>
      <c r="B11316" s="1" t="n">
        <v>45638.40734953704</v>
      </c>
      <c r="C11316" s="1" t="n">
        <v>46011</v>
      </c>
      <c r="D11316" t="inlineStr">
        <is>
          <t>VÄSTRA GÖTALANDS LÄN</t>
        </is>
      </c>
      <c r="E11316" t="inlineStr">
        <is>
          <t>MARK</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45478-2023</t>
        </is>
      </c>
      <c r="B11317" s="1" t="n">
        <v>45194.44383101852</v>
      </c>
      <c r="C11317" s="1" t="n">
        <v>46011</v>
      </c>
      <c r="D11317" t="inlineStr">
        <is>
          <t>VÄSTRA GÖTALANDS LÄN</t>
        </is>
      </c>
      <c r="E11317" t="inlineStr">
        <is>
          <t>ULRICEHAMN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45479-2023</t>
        </is>
      </c>
      <c r="B11318" s="1" t="n">
        <v>45194.44847222222</v>
      </c>
      <c r="C11318" s="1" t="n">
        <v>46011</v>
      </c>
      <c r="D11318" t="inlineStr">
        <is>
          <t>VÄSTRA GÖTALANDS LÄN</t>
        </is>
      </c>
      <c r="E11318" t="inlineStr">
        <is>
          <t>ULRICEHAMN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45667-2023</t>
        </is>
      </c>
      <c r="B11319" s="1" t="n">
        <v>45194.85041666667</v>
      </c>
      <c r="C11319" s="1" t="n">
        <v>46011</v>
      </c>
      <c r="D11319" t="inlineStr">
        <is>
          <t>VÄSTRA GÖTALANDS LÄN</t>
        </is>
      </c>
      <c r="E11319" t="inlineStr">
        <is>
          <t>FALKÖPING</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45669-2023</t>
        </is>
      </c>
      <c r="B11320" s="1" t="n">
        <v>45194.87333333334</v>
      </c>
      <c r="C11320" s="1" t="n">
        <v>46011</v>
      </c>
      <c r="D11320" t="inlineStr">
        <is>
          <t>VÄSTRA GÖTALANDS LÄN</t>
        </is>
      </c>
      <c r="E11320" t="inlineStr">
        <is>
          <t>TIBRO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72801-2021</t>
        </is>
      </c>
      <c r="B11321" s="1" t="n">
        <v>44546</v>
      </c>
      <c r="C11321" s="1" t="n">
        <v>46011</v>
      </c>
      <c r="D11321" t="inlineStr">
        <is>
          <t>VÄSTRA GÖTALANDS LÄN</t>
        </is>
      </c>
      <c r="E11321" t="inlineStr">
        <is>
          <t>ALE</t>
        </is>
      </c>
      <c r="F11321" t="inlineStr">
        <is>
          <t>Naturvårdsverket</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13318-2024</t>
        </is>
      </c>
      <c r="B11322" s="1" t="n">
        <v>45386.75064814815</v>
      </c>
      <c r="C11322" s="1" t="n">
        <v>46011</v>
      </c>
      <c r="D11322" t="inlineStr">
        <is>
          <t>VÄSTRA GÖTALANDS LÄN</t>
        </is>
      </c>
      <c r="E11322" t="inlineStr">
        <is>
          <t>MELLERUD</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15335-2025</t>
        </is>
      </c>
      <c r="B11323" s="1" t="n">
        <v>45747.36087962963</v>
      </c>
      <c r="C11323" s="1" t="n">
        <v>46011</v>
      </c>
      <c r="D11323" t="inlineStr">
        <is>
          <t>VÄSTRA GÖTALANDS LÄN</t>
        </is>
      </c>
      <c r="E11323" t="inlineStr">
        <is>
          <t>TRANEMO</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15366-2025</t>
        </is>
      </c>
      <c r="B11324" s="1" t="n">
        <v>45747.39961805556</v>
      </c>
      <c r="C11324" s="1" t="n">
        <v>46011</v>
      </c>
      <c r="D11324" t="inlineStr">
        <is>
          <t>VÄSTRA GÖTALANDS LÄN</t>
        </is>
      </c>
      <c r="E11324" t="inlineStr">
        <is>
          <t>TRANEMO</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11173-2021</t>
        </is>
      </c>
      <c r="B11325" s="1" t="n">
        <v>44262.82746527778</v>
      </c>
      <c r="C11325" s="1" t="n">
        <v>46011</v>
      </c>
      <c r="D11325" t="inlineStr">
        <is>
          <t>VÄSTRA GÖTALANDS LÄN</t>
        </is>
      </c>
      <c r="E11325" t="inlineStr">
        <is>
          <t>TIDAHOLM</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16120-2022</t>
        </is>
      </c>
      <c r="B11326" s="1" t="n">
        <v>44665.67701388889</v>
      </c>
      <c r="C11326" s="1" t="n">
        <v>46011</v>
      </c>
      <c r="D11326" t="inlineStr">
        <is>
          <t>VÄSTRA GÖTALANDS LÄN</t>
        </is>
      </c>
      <c r="E11326" t="inlineStr">
        <is>
          <t>HERRLJUNGA</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19864-2025</t>
        </is>
      </c>
      <c r="B11327" s="1" t="n">
        <v>45771</v>
      </c>
      <c r="C11327" s="1" t="n">
        <v>46011</v>
      </c>
      <c r="D11327" t="inlineStr">
        <is>
          <t>VÄSTRA GÖTALANDS LÄN</t>
        </is>
      </c>
      <c r="E11327" t="inlineStr">
        <is>
          <t>ULRICEHAMN</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48116-2023</t>
        </is>
      </c>
      <c r="B11328" s="1" t="n">
        <v>45205.35052083333</v>
      </c>
      <c r="C11328" s="1" t="n">
        <v>46011</v>
      </c>
      <c r="D11328" t="inlineStr">
        <is>
          <t>VÄSTRA GÖTALANDS LÄN</t>
        </is>
      </c>
      <c r="E11328" t="inlineStr">
        <is>
          <t>TIDAHOLM</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54444-2023</t>
        </is>
      </c>
      <c r="B11329" s="1" t="n">
        <v>45233.4384375</v>
      </c>
      <c r="C11329" s="1" t="n">
        <v>46011</v>
      </c>
      <c r="D11329" t="inlineStr">
        <is>
          <t>VÄSTRA GÖTALANDS LÄN</t>
        </is>
      </c>
      <c r="E11329" t="inlineStr">
        <is>
          <t>KARLSBORG</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11025-2021</t>
        </is>
      </c>
      <c r="B11330" s="1" t="n">
        <v>44260.52003472222</v>
      </c>
      <c r="C11330" s="1" t="n">
        <v>46011</v>
      </c>
      <c r="D11330" t="inlineStr">
        <is>
          <t>VÄSTRA GÖTALANDS LÄN</t>
        </is>
      </c>
      <c r="E11330" t="inlineStr">
        <is>
          <t>ALINGSÅS</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61435-2024</t>
        </is>
      </c>
      <c r="B11331" s="1" t="n">
        <v>45646.46203703704</v>
      </c>
      <c r="C11331" s="1" t="n">
        <v>46011</v>
      </c>
      <c r="D11331" t="inlineStr">
        <is>
          <t>VÄSTRA GÖTALANDS LÄN</t>
        </is>
      </c>
      <c r="E11331" t="inlineStr">
        <is>
          <t>LILLA EDET</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22223-2022</t>
        </is>
      </c>
      <c r="B11332" s="1" t="n">
        <v>44712</v>
      </c>
      <c r="C11332" s="1" t="n">
        <v>46011</v>
      </c>
      <c r="D11332" t="inlineStr">
        <is>
          <t>VÄSTRA GÖTALANDS LÄN</t>
        </is>
      </c>
      <c r="E11332" t="inlineStr">
        <is>
          <t>LERUM</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39473-2023</t>
        </is>
      </c>
      <c r="B11333" s="1" t="n">
        <v>45166</v>
      </c>
      <c r="C11333" s="1" t="n">
        <v>46011</v>
      </c>
      <c r="D11333" t="inlineStr">
        <is>
          <t>VÄSTRA GÖTALANDS LÄN</t>
        </is>
      </c>
      <c r="E11333" t="inlineStr">
        <is>
          <t>ULRICEHAMN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39476-2023</t>
        </is>
      </c>
      <c r="B11334" s="1" t="n">
        <v>45166</v>
      </c>
      <c r="C11334" s="1" t="n">
        <v>46011</v>
      </c>
      <c r="D11334" t="inlineStr">
        <is>
          <t>VÄSTRA GÖTALANDS LÄN</t>
        </is>
      </c>
      <c r="E11334" t="inlineStr">
        <is>
          <t>ULRICEHAMN</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9826-2025</t>
        </is>
      </c>
      <c r="B11335" s="1" t="n">
        <v>45716.57733796296</v>
      </c>
      <c r="C11335" s="1" t="n">
        <v>46011</v>
      </c>
      <c r="D11335" t="inlineStr">
        <is>
          <t>VÄSTRA GÖTALANDS LÄN</t>
        </is>
      </c>
      <c r="E11335" t="inlineStr">
        <is>
          <t>TRANEMO</t>
        </is>
      </c>
      <c r="F11335" t="inlineStr">
        <is>
          <t>Kyrkan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12934-2022</t>
        </is>
      </c>
      <c r="B11336" s="1" t="n">
        <v>44642</v>
      </c>
      <c r="C11336" s="1" t="n">
        <v>46011</v>
      </c>
      <c r="D11336" t="inlineStr">
        <is>
          <t>VÄSTRA GÖTALANDS LÄN</t>
        </is>
      </c>
      <c r="E11336" t="inlineStr">
        <is>
          <t>ULRICEHAMN</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1456-2022</t>
        </is>
      </c>
      <c r="B11337" s="1" t="n">
        <v>44573</v>
      </c>
      <c r="C11337" s="1" t="n">
        <v>46011</v>
      </c>
      <c r="D11337" t="inlineStr">
        <is>
          <t>VÄSTRA GÖTALANDS LÄN</t>
        </is>
      </c>
      <c r="E11337" t="inlineStr">
        <is>
          <t>FALKÖPING</t>
        </is>
      </c>
      <c r="F11337" t="inlineStr">
        <is>
          <t>Naturvårdsverket</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53740-2023</t>
        </is>
      </c>
      <c r="B11338" s="1" t="n">
        <v>45230</v>
      </c>
      <c r="C11338" s="1" t="n">
        <v>46011</v>
      </c>
      <c r="D11338" t="inlineStr">
        <is>
          <t>VÄSTRA GÖTALANDS LÄN</t>
        </is>
      </c>
      <c r="E11338" t="inlineStr">
        <is>
          <t>SKÖVDE</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52616-2024</t>
        </is>
      </c>
      <c r="B11339" s="1" t="n">
        <v>45609.85064814815</v>
      </c>
      <c r="C11339" s="1" t="n">
        <v>46011</v>
      </c>
      <c r="D11339" t="inlineStr">
        <is>
          <t>VÄSTRA GÖTALANDS LÄN</t>
        </is>
      </c>
      <c r="E11339" t="inlineStr">
        <is>
          <t>SVENLJUNGA</t>
        </is>
      </c>
      <c r="F11339" t="inlineStr">
        <is>
          <t>Sveaskog</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57298-2024</t>
        </is>
      </c>
      <c r="B11340" s="1" t="n">
        <v>45629.59912037037</v>
      </c>
      <c r="C11340" s="1" t="n">
        <v>46011</v>
      </c>
      <c r="D11340" t="inlineStr">
        <is>
          <t>VÄSTRA GÖTALANDS LÄN</t>
        </is>
      </c>
      <c r="E11340" t="inlineStr">
        <is>
          <t>ÅMÅL</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57303-2024</t>
        </is>
      </c>
      <c r="B11341" s="1" t="n">
        <v>45629</v>
      </c>
      <c r="C11341" s="1" t="n">
        <v>46011</v>
      </c>
      <c r="D11341" t="inlineStr">
        <is>
          <t>VÄSTRA GÖTALANDS LÄN</t>
        </is>
      </c>
      <c r="E11341" t="inlineStr">
        <is>
          <t>VARA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39464-2023</t>
        </is>
      </c>
      <c r="B11342" s="1" t="n">
        <v>45166</v>
      </c>
      <c r="C11342" s="1" t="n">
        <v>46011</v>
      </c>
      <c r="D11342" t="inlineStr">
        <is>
          <t>VÄSTRA GÖTALANDS LÄN</t>
        </is>
      </c>
      <c r="E11342" t="inlineStr">
        <is>
          <t>ULRICEHAMN</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47583-2024</t>
        </is>
      </c>
      <c r="B11343" s="1" t="n">
        <v>45587.77702546296</v>
      </c>
      <c r="C11343" s="1" t="n">
        <v>46011</v>
      </c>
      <c r="D11343" t="inlineStr">
        <is>
          <t>VÄSTRA GÖTALANDS LÄN</t>
        </is>
      </c>
      <c r="E11343" t="inlineStr">
        <is>
          <t>VÅRGÅRDA</t>
        </is>
      </c>
      <c r="F11343" t="inlineStr">
        <is>
          <t>Kyrkan</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13315-2022</t>
        </is>
      </c>
      <c r="B11344" s="1" t="n">
        <v>44645</v>
      </c>
      <c r="C11344" s="1" t="n">
        <v>46011</v>
      </c>
      <c r="D11344" t="inlineStr">
        <is>
          <t>VÄSTRA GÖTALANDS LÄN</t>
        </is>
      </c>
      <c r="E11344" t="inlineStr">
        <is>
          <t>MARIESTAD</t>
        </is>
      </c>
      <c r="F11344" t="inlineStr">
        <is>
          <t>Sveaskog</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19531-2023</t>
        </is>
      </c>
      <c r="B11345" s="1" t="n">
        <v>45050.54896990741</v>
      </c>
      <c r="C11345" s="1" t="n">
        <v>46011</v>
      </c>
      <c r="D11345" t="inlineStr">
        <is>
          <t>VÄSTRA GÖTALANDS LÄN</t>
        </is>
      </c>
      <c r="E11345" t="inlineStr">
        <is>
          <t>KUNGÄLV</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45583-2023</t>
        </is>
      </c>
      <c r="B11346" s="1" t="n">
        <v>45194.61690972222</v>
      </c>
      <c r="C11346" s="1" t="n">
        <v>46011</v>
      </c>
      <c r="D11346" t="inlineStr">
        <is>
          <t>VÄSTRA GÖTALANDS LÄN</t>
        </is>
      </c>
      <c r="E11346" t="inlineStr">
        <is>
          <t>MARK</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28413-2023</t>
        </is>
      </c>
      <c r="B11347" s="1" t="n">
        <v>45101.80099537037</v>
      </c>
      <c r="C11347" s="1" t="n">
        <v>46011</v>
      </c>
      <c r="D11347" t="inlineStr">
        <is>
          <t>VÄSTRA GÖTALANDS LÄN</t>
        </is>
      </c>
      <c r="E11347" t="inlineStr">
        <is>
          <t>HERRLJUNGA</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28463-2023</t>
        </is>
      </c>
      <c r="B11348" s="1" t="n">
        <v>45103</v>
      </c>
      <c r="C11348" s="1" t="n">
        <v>46011</v>
      </c>
      <c r="D11348" t="inlineStr">
        <is>
          <t>VÄSTRA GÖTALANDS LÄN</t>
        </is>
      </c>
      <c r="E11348" t="inlineStr">
        <is>
          <t>FALKÖPING</t>
        </is>
      </c>
      <c r="G11348" t="n">
        <v>8.4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42402-2023</t>
        </is>
      </c>
      <c r="B11349" s="1" t="n">
        <v>45180</v>
      </c>
      <c r="C11349" s="1" t="n">
        <v>46011</v>
      </c>
      <c r="D11349" t="inlineStr">
        <is>
          <t>VÄSTRA GÖTALANDS LÄN</t>
        </is>
      </c>
      <c r="E11349" t="inlineStr">
        <is>
          <t>FÄRGELANDA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12988-2022</t>
        </is>
      </c>
      <c r="B11350" s="1" t="n">
        <v>44643</v>
      </c>
      <c r="C11350" s="1" t="n">
        <v>46011</v>
      </c>
      <c r="D11350" t="inlineStr">
        <is>
          <t>VÄSTRA GÖTALANDS LÄN</t>
        </is>
      </c>
      <c r="E11350" t="inlineStr">
        <is>
          <t>DALS-ED</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54122-2023</t>
        </is>
      </c>
      <c r="B11351" s="1" t="n">
        <v>45232</v>
      </c>
      <c r="C11351" s="1" t="n">
        <v>46011</v>
      </c>
      <c r="D11351" t="inlineStr">
        <is>
          <t>VÄSTRA GÖTALANDS LÄN</t>
        </is>
      </c>
      <c r="E11351" t="inlineStr">
        <is>
          <t>TIDAHOLM</t>
        </is>
      </c>
      <c r="F11351" t="inlineStr">
        <is>
          <t>Kyrkan</t>
        </is>
      </c>
      <c r="G11351" t="n">
        <v>22.5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56781-2024</t>
        </is>
      </c>
      <c r="B11352" s="1" t="n">
        <v>45628.44436342592</v>
      </c>
      <c r="C11352" s="1" t="n">
        <v>46011</v>
      </c>
      <c r="D11352" t="inlineStr">
        <is>
          <t>VÄSTRA GÖTALANDS LÄN</t>
        </is>
      </c>
      <c r="E11352" t="inlineStr">
        <is>
          <t>DALS-ED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50985-2023</t>
        </is>
      </c>
      <c r="B11353" s="1" t="n">
        <v>45218.53603009259</v>
      </c>
      <c r="C11353" s="1" t="n">
        <v>46011</v>
      </c>
      <c r="D11353" t="inlineStr">
        <is>
          <t>VÄSTRA GÖTALANDS LÄN</t>
        </is>
      </c>
      <c r="E11353" t="inlineStr">
        <is>
          <t>KARLSBORG</t>
        </is>
      </c>
      <c r="F11353" t="inlineStr">
        <is>
          <t>Sveaskog</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19557-2023</t>
        </is>
      </c>
      <c r="B11354" s="1" t="n">
        <v>45050</v>
      </c>
      <c r="C11354" s="1" t="n">
        <v>46011</v>
      </c>
      <c r="D11354" t="inlineStr">
        <is>
          <t>VÄSTRA GÖTALANDS LÄN</t>
        </is>
      </c>
      <c r="E11354" t="inlineStr">
        <is>
          <t>BENGTSFORS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4263-2024</t>
        </is>
      </c>
      <c r="B11355" s="1" t="n">
        <v>45324.51049768519</v>
      </c>
      <c r="C11355" s="1" t="n">
        <v>46011</v>
      </c>
      <c r="D11355" t="inlineStr">
        <is>
          <t>VÄSTRA GÖTALANDS LÄN</t>
        </is>
      </c>
      <c r="E11355" t="inlineStr">
        <is>
          <t>KUNGÄLV</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37169-2022</t>
        </is>
      </c>
      <c r="B11356" s="1" t="n">
        <v>44806.60627314815</v>
      </c>
      <c r="C11356" s="1" t="n">
        <v>46011</v>
      </c>
      <c r="D11356" t="inlineStr">
        <is>
          <t>VÄSTRA GÖTALANDS LÄN</t>
        </is>
      </c>
      <c r="E11356" t="inlineStr">
        <is>
          <t>LIDKÖPING</t>
        </is>
      </c>
      <c r="G11356" t="n">
        <v>17.4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25004-2023</t>
        </is>
      </c>
      <c r="B11357" s="1" t="n">
        <v>45085</v>
      </c>
      <c r="C11357" s="1" t="n">
        <v>46011</v>
      </c>
      <c r="D11357" t="inlineStr">
        <is>
          <t>VÄSTRA GÖTALANDS LÄN</t>
        </is>
      </c>
      <c r="E11357" t="inlineStr">
        <is>
          <t>TANUM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52905-2023</t>
        </is>
      </c>
      <c r="B11358" s="1" t="n">
        <v>45226</v>
      </c>
      <c r="C11358" s="1" t="n">
        <v>46011</v>
      </c>
      <c r="D11358" t="inlineStr">
        <is>
          <t>VÄSTRA GÖTALANDS LÄN</t>
        </is>
      </c>
      <c r="E11358" t="inlineStr">
        <is>
          <t>UDDEVALLA</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52918-2023</t>
        </is>
      </c>
      <c r="B11359" s="1" t="n">
        <v>45226.52905092593</v>
      </c>
      <c r="C11359" s="1" t="n">
        <v>46011</v>
      </c>
      <c r="D11359" t="inlineStr">
        <is>
          <t>VÄSTRA GÖTALANDS LÄN</t>
        </is>
      </c>
      <c r="E11359" t="inlineStr">
        <is>
          <t>VARA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19674-2023</t>
        </is>
      </c>
      <c r="B11360" s="1" t="n">
        <v>45051.39313657407</v>
      </c>
      <c r="C11360" s="1" t="n">
        <v>46011</v>
      </c>
      <c r="D11360" t="inlineStr">
        <is>
          <t>VÄSTRA GÖTALANDS LÄN</t>
        </is>
      </c>
      <c r="E11360" t="inlineStr">
        <is>
          <t>GÖTENE</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12532-2022</t>
        </is>
      </c>
      <c r="B11361" s="1" t="n">
        <v>44638</v>
      </c>
      <c r="C11361" s="1" t="n">
        <v>46011</v>
      </c>
      <c r="D11361" t="inlineStr">
        <is>
          <t>VÄSTRA GÖTALANDS LÄN</t>
        </is>
      </c>
      <c r="E11361" t="inlineStr">
        <is>
          <t>MARIESTAD</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12551-2022</t>
        </is>
      </c>
      <c r="B11362" s="1" t="n">
        <v>44638.75818287037</v>
      </c>
      <c r="C11362" s="1" t="n">
        <v>46011</v>
      </c>
      <c r="D11362" t="inlineStr">
        <is>
          <t>VÄSTRA GÖTALANDS LÄN</t>
        </is>
      </c>
      <c r="E11362" t="inlineStr">
        <is>
          <t>ULRICEHAMN</t>
        </is>
      </c>
      <c r="F11362" t="inlineStr">
        <is>
          <t>Kommuner</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12553-2022</t>
        </is>
      </c>
      <c r="B11363" s="1" t="n">
        <v>44638.76068287037</v>
      </c>
      <c r="C11363" s="1" t="n">
        <v>46011</v>
      </c>
      <c r="D11363" t="inlineStr">
        <is>
          <t>VÄSTRA GÖTALANDS LÄN</t>
        </is>
      </c>
      <c r="E11363" t="inlineStr">
        <is>
          <t>ULRICEHAMN</t>
        </is>
      </c>
      <c r="F11363" t="inlineStr">
        <is>
          <t>Kommuner</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54846-2023</t>
        </is>
      </c>
      <c r="B11364" s="1" t="n">
        <v>45236.58672453704</v>
      </c>
      <c r="C11364" s="1" t="n">
        <v>46011</v>
      </c>
      <c r="D11364" t="inlineStr">
        <is>
          <t>VÄSTRA GÖTALANDS LÄN</t>
        </is>
      </c>
      <c r="E11364" t="inlineStr">
        <is>
          <t>MARK</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54867-2023</t>
        </is>
      </c>
      <c r="B11365" s="1" t="n">
        <v>45229</v>
      </c>
      <c r="C11365" s="1" t="n">
        <v>46011</v>
      </c>
      <c r="D11365" t="inlineStr">
        <is>
          <t>VÄSTRA GÖTALANDS LÄN</t>
        </is>
      </c>
      <c r="E11365" t="inlineStr">
        <is>
          <t>ÅMÅL</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54902-2023</t>
        </is>
      </c>
      <c r="B11366" s="1" t="n">
        <v>45229</v>
      </c>
      <c r="C11366" s="1" t="n">
        <v>46011</v>
      </c>
      <c r="D11366" t="inlineStr">
        <is>
          <t>VÄSTRA GÖTALANDS LÄN</t>
        </is>
      </c>
      <c r="E11366" t="inlineStr">
        <is>
          <t>HJO</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54903-2023</t>
        </is>
      </c>
      <c r="B11367" s="1" t="n">
        <v>45236</v>
      </c>
      <c r="C11367" s="1" t="n">
        <v>46011</v>
      </c>
      <c r="D11367" t="inlineStr">
        <is>
          <t>VÄSTRA GÖTALANDS LÄN</t>
        </is>
      </c>
      <c r="E11367" t="inlineStr">
        <is>
          <t>ULRICEHAMN</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53829-2023</t>
        </is>
      </c>
      <c r="B11368" s="1" t="n">
        <v>45231</v>
      </c>
      <c r="C11368" s="1" t="n">
        <v>46011</v>
      </c>
      <c r="D11368" t="inlineStr">
        <is>
          <t>VÄSTRA GÖTALANDS LÄN</t>
        </is>
      </c>
      <c r="E11368" t="inlineStr">
        <is>
          <t>ULRICEHAMN</t>
        </is>
      </c>
      <c r="F11368" t="inlineStr">
        <is>
          <t>Kommuner</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60118-2024</t>
        </is>
      </c>
      <c r="B11369" s="1" t="n">
        <v>45642.58109953703</v>
      </c>
      <c r="C11369" s="1" t="n">
        <v>46011</v>
      </c>
      <c r="D11369" t="inlineStr">
        <is>
          <t>VÄSTRA GÖTALANDS LÄN</t>
        </is>
      </c>
      <c r="E11369" t="inlineStr">
        <is>
          <t>LIDKÖPING</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20210-2023</t>
        </is>
      </c>
      <c r="B11370" s="1" t="n">
        <v>45055.61012731482</v>
      </c>
      <c r="C11370" s="1" t="n">
        <v>46011</v>
      </c>
      <c r="D11370" t="inlineStr">
        <is>
          <t>VÄSTRA GÖTALANDS LÄN</t>
        </is>
      </c>
      <c r="E11370" t="inlineStr">
        <is>
          <t>LERUM</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49595-2023</t>
        </is>
      </c>
      <c r="B11371" s="1" t="n">
        <v>45211.69251157407</v>
      </c>
      <c r="C11371" s="1" t="n">
        <v>46011</v>
      </c>
      <c r="D11371" t="inlineStr">
        <is>
          <t>VÄSTRA GÖTALANDS LÄN</t>
        </is>
      </c>
      <c r="E11371" t="inlineStr">
        <is>
          <t>SVENLJUNGA</t>
        </is>
      </c>
      <c r="F11371" t="inlineStr">
        <is>
          <t>Kommuner</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53769-2024</t>
        </is>
      </c>
      <c r="B11372" s="1" t="n">
        <v>45615.52787037037</v>
      </c>
      <c r="C11372" s="1" t="n">
        <v>46011</v>
      </c>
      <c r="D11372" t="inlineStr">
        <is>
          <t>VÄSTRA GÖTALANDS LÄN</t>
        </is>
      </c>
      <c r="E11372" t="inlineStr">
        <is>
          <t>LIDKÖPING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53770-2024</t>
        </is>
      </c>
      <c r="B11373" s="1" t="n">
        <v>45615.52821759259</v>
      </c>
      <c r="C11373" s="1" t="n">
        <v>46011</v>
      </c>
      <c r="D11373" t="inlineStr">
        <is>
          <t>VÄSTRA GÖTALANDS LÄN</t>
        </is>
      </c>
      <c r="E11373" t="inlineStr">
        <is>
          <t>SVENLJUNGA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53773-2024</t>
        </is>
      </c>
      <c r="B11374" s="1" t="n">
        <v>45615.53488425926</v>
      </c>
      <c r="C11374" s="1" t="n">
        <v>46011</v>
      </c>
      <c r="D11374" t="inlineStr">
        <is>
          <t>VÄSTRA GÖTALANDS LÄN</t>
        </is>
      </c>
      <c r="E11374" t="inlineStr">
        <is>
          <t>HERRLJUNGA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13345-2022</t>
        </is>
      </c>
      <c r="B11375" s="1" t="n">
        <v>44645</v>
      </c>
      <c r="C11375" s="1" t="n">
        <v>46011</v>
      </c>
      <c r="D11375" t="inlineStr">
        <is>
          <t>VÄSTRA GÖTALANDS LÄN</t>
        </is>
      </c>
      <c r="E11375" t="inlineStr">
        <is>
          <t>GÖTENE</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8373-2022</t>
        </is>
      </c>
      <c r="B11376" s="1" t="n">
        <v>44610</v>
      </c>
      <c r="C11376" s="1" t="n">
        <v>46011</v>
      </c>
      <c r="D11376" t="inlineStr">
        <is>
          <t>VÄSTRA GÖTALANDS LÄN</t>
        </is>
      </c>
      <c r="E11376" t="inlineStr">
        <is>
          <t>TIDAHOLM</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22246-2023</t>
        </is>
      </c>
      <c r="B11377" s="1" t="n">
        <v>45070.30204861111</v>
      </c>
      <c r="C11377" s="1" t="n">
        <v>46011</v>
      </c>
      <c r="D11377" t="inlineStr">
        <is>
          <t>VÄSTRA GÖTALANDS LÄN</t>
        </is>
      </c>
      <c r="E11377" t="inlineStr">
        <is>
          <t>MARK</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27714-2023</t>
        </is>
      </c>
      <c r="B11378" s="1" t="n">
        <v>45098</v>
      </c>
      <c r="C11378" s="1" t="n">
        <v>46011</v>
      </c>
      <c r="D11378" t="inlineStr">
        <is>
          <t>VÄSTRA GÖTALANDS LÄN</t>
        </is>
      </c>
      <c r="E11378" t="inlineStr">
        <is>
          <t>MARK</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27725-2023</t>
        </is>
      </c>
      <c r="B11379" s="1" t="n">
        <v>45098.36331018519</v>
      </c>
      <c r="C11379" s="1" t="n">
        <v>46011</v>
      </c>
      <c r="D11379" t="inlineStr">
        <is>
          <t>VÄSTRA GÖTALANDS LÄN</t>
        </is>
      </c>
      <c r="E11379" t="inlineStr">
        <is>
          <t>MARK</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27739-2023</t>
        </is>
      </c>
      <c r="B11380" s="1" t="n">
        <v>45098.37615740741</v>
      </c>
      <c r="C11380" s="1" t="n">
        <v>46011</v>
      </c>
      <c r="D11380" t="inlineStr">
        <is>
          <t>VÄSTRA GÖTALANDS LÄN</t>
        </is>
      </c>
      <c r="E11380" t="inlineStr">
        <is>
          <t>BENGTSFORS</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5117-2025</t>
        </is>
      </c>
      <c r="B11381" s="1" t="n">
        <v>45691.55537037037</v>
      </c>
      <c r="C11381" s="1" t="n">
        <v>46011</v>
      </c>
      <c r="D11381" t="inlineStr">
        <is>
          <t>VÄSTRA GÖTALANDS LÄN</t>
        </is>
      </c>
      <c r="E11381" t="inlineStr">
        <is>
          <t>ULRICEHAMN</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56765-2024</t>
        </is>
      </c>
      <c r="B11382" s="1" t="n">
        <v>45628.4080787037</v>
      </c>
      <c r="C11382" s="1" t="n">
        <v>46011</v>
      </c>
      <c r="D11382" t="inlineStr">
        <is>
          <t>VÄSTRA GÖTALANDS LÄN</t>
        </is>
      </c>
      <c r="E11382" t="inlineStr">
        <is>
          <t>DALS-ED</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29697-2023</t>
        </is>
      </c>
      <c r="B11383" s="1" t="n">
        <v>45107</v>
      </c>
      <c r="C11383" s="1" t="n">
        <v>46011</v>
      </c>
      <c r="D11383" t="inlineStr">
        <is>
          <t>VÄSTRA GÖTALANDS LÄN</t>
        </is>
      </c>
      <c r="E11383" t="inlineStr">
        <is>
          <t>HÄRRYDA</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8492-2022</t>
        </is>
      </c>
      <c r="B11384" s="1" t="n">
        <v>44613.3828125</v>
      </c>
      <c r="C11384" s="1" t="n">
        <v>46011</v>
      </c>
      <c r="D11384" t="inlineStr">
        <is>
          <t>VÄSTRA GÖTALANDS LÄN</t>
        </is>
      </c>
      <c r="E11384" t="inlineStr">
        <is>
          <t>MELLERUD</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23492-2022</t>
        </is>
      </c>
      <c r="B11385" s="1" t="n">
        <v>44721.36030092592</v>
      </c>
      <c r="C11385" s="1" t="n">
        <v>46011</v>
      </c>
      <c r="D11385" t="inlineStr">
        <is>
          <t>VÄSTRA GÖTALANDS LÄN</t>
        </is>
      </c>
      <c r="E11385" t="inlineStr">
        <is>
          <t>HÄRRYDA</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12257-2022</t>
        </is>
      </c>
      <c r="B11386" s="1" t="n">
        <v>44637</v>
      </c>
      <c r="C11386" s="1" t="n">
        <v>46011</v>
      </c>
      <c r="D11386" t="inlineStr">
        <is>
          <t>VÄSTRA GÖTALANDS LÄN</t>
        </is>
      </c>
      <c r="E11386" t="inlineStr">
        <is>
          <t>BENGTSFORS</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46020-2023</t>
        </is>
      </c>
      <c r="B11387" s="1" t="n">
        <v>45196.39703703704</v>
      </c>
      <c r="C11387" s="1" t="n">
        <v>46011</v>
      </c>
      <c r="D11387" t="inlineStr">
        <is>
          <t>VÄSTRA GÖTALANDS LÄN</t>
        </is>
      </c>
      <c r="E11387" t="inlineStr">
        <is>
          <t>TRANEMO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16385-2025</t>
        </is>
      </c>
      <c r="B11388" s="1" t="n">
        <v>45751.42364583333</v>
      </c>
      <c r="C11388" s="1" t="n">
        <v>46011</v>
      </c>
      <c r="D11388" t="inlineStr">
        <is>
          <t>VÄSTRA GÖTALANDS LÄN</t>
        </is>
      </c>
      <c r="E11388" t="inlineStr">
        <is>
          <t>SVENLJUNGA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56013-2024</t>
        </is>
      </c>
      <c r="B11389" s="1" t="n">
        <v>45623.84050925926</v>
      </c>
      <c r="C11389" s="1" t="n">
        <v>46011</v>
      </c>
      <c r="D11389" t="inlineStr">
        <is>
          <t>VÄSTRA GÖTALANDS LÄN</t>
        </is>
      </c>
      <c r="E11389" t="inlineStr">
        <is>
          <t>TIDAHOLM</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46050-2023</t>
        </is>
      </c>
      <c r="B11390" s="1" t="n">
        <v>45196.44567129629</v>
      </c>
      <c r="C11390" s="1" t="n">
        <v>46011</v>
      </c>
      <c r="D11390" t="inlineStr">
        <is>
          <t>VÄSTRA GÖTALANDS LÄN</t>
        </is>
      </c>
      <c r="E11390" t="inlineStr">
        <is>
          <t>DALS-ED</t>
        </is>
      </c>
      <c r="F11390" t="inlineStr">
        <is>
          <t>Kommuner</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52262-2023</t>
        </is>
      </c>
      <c r="B11391" s="1" t="n">
        <v>45217</v>
      </c>
      <c r="C11391" s="1" t="n">
        <v>46011</v>
      </c>
      <c r="D11391" t="inlineStr">
        <is>
          <t>VÄSTRA GÖTALANDS LÄN</t>
        </is>
      </c>
      <c r="E11391" t="inlineStr">
        <is>
          <t>STRÖMSTAD</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3200-2025</t>
        </is>
      </c>
      <c r="B11392" s="1" t="n">
        <v>45679.44023148148</v>
      </c>
      <c r="C11392" s="1" t="n">
        <v>46011</v>
      </c>
      <c r="D11392" t="inlineStr">
        <is>
          <t>VÄSTRA GÖTALANDS LÄN</t>
        </is>
      </c>
      <c r="E11392" t="inlineStr">
        <is>
          <t>FALKÖPING</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16984-2025</t>
        </is>
      </c>
      <c r="B11393" s="1" t="n">
        <v>45755.4875925926</v>
      </c>
      <c r="C11393" s="1" t="n">
        <v>46011</v>
      </c>
      <c r="D11393" t="inlineStr">
        <is>
          <t>VÄSTRA GÖTALANDS LÄN</t>
        </is>
      </c>
      <c r="E11393" t="inlineStr">
        <is>
          <t>MARK</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46837-2023</t>
        </is>
      </c>
      <c r="B11394" s="1" t="n">
        <v>45199.41509259259</v>
      </c>
      <c r="C11394" s="1" t="n">
        <v>46011</v>
      </c>
      <c r="D11394" t="inlineStr">
        <is>
          <t>VÄSTRA GÖTALANDS LÄN</t>
        </is>
      </c>
      <c r="E11394" t="inlineStr">
        <is>
          <t>ULRICEHAMN</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46875-2023</t>
        </is>
      </c>
      <c r="B11395" s="1" t="n">
        <v>45200.85653935185</v>
      </c>
      <c r="C11395" s="1" t="n">
        <v>46011</v>
      </c>
      <c r="D11395" t="inlineStr">
        <is>
          <t>VÄSTRA GÖTALANDS LÄN</t>
        </is>
      </c>
      <c r="E11395" t="inlineStr">
        <is>
          <t>MARIESTAD</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14604-2022</t>
        </is>
      </c>
      <c r="B11396" s="1" t="n">
        <v>44655.59598379629</v>
      </c>
      <c r="C11396" s="1" t="n">
        <v>46011</v>
      </c>
      <c r="D11396" t="inlineStr">
        <is>
          <t>VÄSTRA GÖTALANDS LÄN</t>
        </is>
      </c>
      <c r="E11396" t="inlineStr">
        <is>
          <t>UDDEVALLA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14655-2022</t>
        </is>
      </c>
      <c r="B11397" s="1" t="n">
        <v>44655</v>
      </c>
      <c r="C11397" s="1" t="n">
        <v>46011</v>
      </c>
      <c r="D11397" t="inlineStr">
        <is>
          <t>VÄSTRA GÖTALANDS LÄN</t>
        </is>
      </c>
      <c r="E11397" t="inlineStr">
        <is>
          <t>VÅRGÅRDA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16248-2022</t>
        </is>
      </c>
      <c r="B11398" s="1" t="n">
        <v>44670.44054398148</v>
      </c>
      <c r="C11398" s="1" t="n">
        <v>46011</v>
      </c>
      <c r="D11398" t="inlineStr">
        <is>
          <t>VÄSTRA GÖTALANDS LÄN</t>
        </is>
      </c>
      <c r="E11398" t="inlineStr">
        <is>
          <t>ESSUNGA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16332-2025</t>
        </is>
      </c>
      <c r="B11399" s="1" t="n">
        <v>45751.36189814815</v>
      </c>
      <c r="C11399" s="1" t="n">
        <v>46011</v>
      </c>
      <c r="D11399" t="inlineStr">
        <is>
          <t>VÄSTRA GÖTALANDS LÄN</t>
        </is>
      </c>
      <c r="E11399" t="inlineStr">
        <is>
          <t>UDDEVALLA</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39761-2023</t>
        </is>
      </c>
      <c r="B11400" s="1" t="n">
        <v>45167.71447916667</v>
      </c>
      <c r="C11400" s="1" t="n">
        <v>46011</v>
      </c>
      <c r="D11400" t="inlineStr">
        <is>
          <t>VÄSTRA GÖTALANDS LÄN</t>
        </is>
      </c>
      <c r="E11400" t="inlineStr">
        <is>
          <t>HÄRRYDA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18454-2025</t>
        </is>
      </c>
      <c r="B11401" s="1" t="n">
        <v>45762.66724537037</v>
      </c>
      <c r="C11401" s="1" t="n">
        <v>46011</v>
      </c>
      <c r="D11401" t="inlineStr">
        <is>
          <t>VÄSTRA GÖTALANDS LÄN</t>
        </is>
      </c>
      <c r="E11401" t="inlineStr">
        <is>
          <t>TRANEMO</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43873-2023</t>
        </is>
      </c>
      <c r="B11402" s="1" t="n">
        <v>45187</v>
      </c>
      <c r="C11402" s="1" t="n">
        <v>46011</v>
      </c>
      <c r="D11402" t="inlineStr">
        <is>
          <t>VÄSTRA GÖTALANDS LÄN</t>
        </is>
      </c>
      <c r="E11402" t="inlineStr">
        <is>
          <t>ULRICEHAMN</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43922-2023</t>
        </is>
      </c>
      <c r="B11403" s="1" t="n">
        <v>45187.73872685185</v>
      </c>
      <c r="C11403" s="1" t="n">
        <v>46011</v>
      </c>
      <c r="D11403" t="inlineStr">
        <is>
          <t>VÄSTRA GÖTALANDS LÄN</t>
        </is>
      </c>
      <c r="E11403" t="inlineStr">
        <is>
          <t>TIDAHOLM</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24081-2024</t>
        </is>
      </c>
      <c r="B11404" s="1" t="n">
        <v>45456.57019675926</v>
      </c>
      <c r="C11404" s="1" t="n">
        <v>46011</v>
      </c>
      <c r="D11404" t="inlineStr">
        <is>
          <t>VÄSTRA GÖTALANDS LÄN</t>
        </is>
      </c>
      <c r="E11404" t="inlineStr">
        <is>
          <t>UDDEVALLA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52350-2024</t>
        </is>
      </c>
      <c r="B11405" s="1" t="n">
        <v>45609.35231481482</v>
      </c>
      <c r="C11405" s="1" t="n">
        <v>46011</v>
      </c>
      <c r="D11405" t="inlineStr">
        <is>
          <t>VÄSTRA GÖTALANDS LÄN</t>
        </is>
      </c>
      <c r="E11405" t="inlineStr">
        <is>
          <t>DALS-ED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50334-2024</t>
        </is>
      </c>
      <c r="B11406" s="1" t="n">
        <v>45600.7067824074</v>
      </c>
      <c r="C11406" s="1" t="n">
        <v>46011</v>
      </c>
      <c r="D11406" t="inlineStr">
        <is>
          <t>VÄSTRA GÖTALANDS LÄN</t>
        </is>
      </c>
      <c r="E11406" t="inlineStr">
        <is>
          <t>MELLERUD</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52381-2024</t>
        </is>
      </c>
      <c r="B11407" s="1" t="n">
        <v>45609.41010416667</v>
      </c>
      <c r="C11407" s="1" t="n">
        <v>46011</v>
      </c>
      <c r="D11407" t="inlineStr">
        <is>
          <t>VÄSTRA GÖTALANDS LÄN</t>
        </is>
      </c>
      <c r="E11407" t="inlineStr">
        <is>
          <t>KARLSBORG</t>
        </is>
      </c>
      <c r="G11407" t="n">
        <v>1.4</v>
      </c>
      <c r="H11407" t="n">
        <v>0</v>
      </c>
      <c r="I11407" t="n">
        <v>0</v>
      </c>
      <c r="J11407" t="n">
        <v>0</v>
      </c>
      <c r="K11407" t="n">
        <v>0</v>
      </c>
      <c r="L11407" t="n">
        <v>0</v>
      </c>
      <c r="M11407" t="n">
        <v>0</v>
      </c>
      <c r="N11407" t="n">
        <v>0</v>
      </c>
      <c r="O11407" t="n">
        <v>0</v>
      </c>
      <c r="P11407" t="n">
        <v>0</v>
      </c>
      <c r="Q11407" t="n">
        <v>0</v>
      </c>
      <c r="R11407" s="2" t="inlineStr"/>
      <c r="U11407">
        <f>HYPERLINK("https://klasma.github.io/Logging_1446/knärot/A 52381-2024 karta knärot.png", "A 52381-2024")</f>
        <v/>
      </c>
      <c r="V11407">
        <f>HYPERLINK("https://klasma.github.io/Logging_1446/klagomål/A 52381-2024 FSC-klagomål.docx", "A 52381-2024")</f>
        <v/>
      </c>
      <c r="W11407">
        <f>HYPERLINK("https://klasma.github.io/Logging_1446/klagomålsmail/A 52381-2024 FSC-klagomål mail.docx", "A 52381-2024")</f>
        <v/>
      </c>
      <c r="X11407">
        <f>HYPERLINK("https://klasma.github.io/Logging_1446/tillsyn/A 52381-2024 tillsynsbegäran.docx", "A 52381-2024")</f>
        <v/>
      </c>
      <c r="Y11407">
        <f>HYPERLINK("https://klasma.github.io/Logging_1446/tillsynsmail/A 52381-2024 tillsynsbegäran mail.docx", "A 52381-2024")</f>
        <v/>
      </c>
    </row>
    <row r="11408" ht="15" customHeight="1">
      <c r="A11408" t="inlineStr">
        <is>
          <t>A 2250-2025</t>
        </is>
      </c>
      <c r="B11408" s="1" t="n">
        <v>45673.49438657407</v>
      </c>
      <c r="C11408" s="1" t="n">
        <v>46011</v>
      </c>
      <c r="D11408" t="inlineStr">
        <is>
          <t>VÄSTRA GÖTALANDS LÄN</t>
        </is>
      </c>
      <c r="E11408" t="inlineStr">
        <is>
          <t>TRANEMO</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9639-2024</t>
        </is>
      </c>
      <c r="B11409" s="1" t="n">
        <v>45362.36138888889</v>
      </c>
      <c r="C11409" s="1" t="n">
        <v>46011</v>
      </c>
      <c r="D11409" t="inlineStr">
        <is>
          <t>VÄSTRA GÖTALANDS LÄN</t>
        </is>
      </c>
      <c r="E11409" t="inlineStr">
        <is>
          <t>SVENLJUNGA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38809-2024</t>
        </is>
      </c>
      <c r="B11410" s="1" t="n">
        <v>45547</v>
      </c>
      <c r="C11410" s="1" t="n">
        <v>46011</v>
      </c>
      <c r="D11410" t="inlineStr">
        <is>
          <t>VÄSTRA GÖTALANDS LÄN</t>
        </is>
      </c>
      <c r="E11410" t="inlineStr">
        <is>
          <t>BENGTSFORS</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38818-2024</t>
        </is>
      </c>
      <c r="B11411" s="1" t="n">
        <v>45547.55392361111</v>
      </c>
      <c r="C11411" s="1" t="n">
        <v>46011</v>
      </c>
      <c r="D11411" t="inlineStr">
        <is>
          <t>VÄSTRA GÖTALANDS LÄN</t>
        </is>
      </c>
      <c r="E11411" t="inlineStr">
        <is>
          <t>STRÖMSTAD</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38821-2024</t>
        </is>
      </c>
      <c r="B11412" s="1" t="n">
        <v>45547.56070601852</v>
      </c>
      <c r="C11412" s="1" t="n">
        <v>46011</v>
      </c>
      <c r="D11412" t="inlineStr">
        <is>
          <t>VÄSTRA GÖTALANDS LÄN</t>
        </is>
      </c>
      <c r="E11412" t="inlineStr">
        <is>
          <t>TRANEMO</t>
        </is>
      </c>
      <c r="F11412" t="inlineStr">
        <is>
          <t>Sveaskog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16121-2024</t>
        </is>
      </c>
      <c r="B11413" s="1" t="n">
        <v>45406.49583333333</v>
      </c>
      <c r="C11413" s="1" t="n">
        <v>46011</v>
      </c>
      <c r="D11413" t="inlineStr">
        <is>
          <t>VÄSTRA GÖTALANDS LÄN</t>
        </is>
      </c>
      <c r="E11413" t="inlineStr">
        <is>
          <t>VÅRGÅRDA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43922-2024</t>
        </is>
      </c>
      <c r="B11414" s="1" t="n">
        <v>45572.44581018519</v>
      </c>
      <c r="C11414" s="1" t="n">
        <v>46011</v>
      </c>
      <c r="D11414" t="inlineStr">
        <is>
          <t>VÄSTRA GÖTALANDS LÄN</t>
        </is>
      </c>
      <c r="E11414" t="inlineStr">
        <is>
          <t>MARK</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16128-2024</t>
        </is>
      </c>
      <c r="B11415" s="1" t="n">
        <v>45407</v>
      </c>
      <c r="C11415" s="1" t="n">
        <v>46011</v>
      </c>
      <c r="D11415" t="inlineStr">
        <is>
          <t>VÄSTRA GÖTALANDS LÄN</t>
        </is>
      </c>
      <c r="E11415" t="inlineStr">
        <is>
          <t>SVENLJUNGA</t>
        </is>
      </c>
      <c r="F11415" t="inlineStr">
        <is>
          <t>Kommuner</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41572-2024</t>
        </is>
      </c>
      <c r="B11416" s="1" t="n">
        <v>45560.54604166667</v>
      </c>
      <c r="C11416" s="1" t="n">
        <v>46011</v>
      </c>
      <c r="D11416" t="inlineStr">
        <is>
          <t>VÄSTRA GÖTALANDS LÄN</t>
        </is>
      </c>
      <c r="E11416" t="inlineStr">
        <is>
          <t>ULRICEHAMN</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4760-2022</t>
        </is>
      </c>
      <c r="B11417" s="1" t="n">
        <v>44592.59158564815</v>
      </c>
      <c r="C11417" s="1" t="n">
        <v>46011</v>
      </c>
      <c r="D11417" t="inlineStr">
        <is>
          <t>VÄSTRA GÖTALANDS LÄN</t>
        </is>
      </c>
      <c r="E11417" t="inlineStr">
        <is>
          <t>BENGTSFORS</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18919-2024</t>
        </is>
      </c>
      <c r="B11418" s="1" t="n">
        <v>45427.40872685185</v>
      </c>
      <c r="C11418" s="1" t="n">
        <v>46011</v>
      </c>
      <c r="D11418" t="inlineStr">
        <is>
          <t>VÄSTRA GÖTALANDS LÄN</t>
        </is>
      </c>
      <c r="E11418" t="inlineStr">
        <is>
          <t>ULRICEHAMN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18937-2024</t>
        </is>
      </c>
      <c r="B11419" s="1" t="n">
        <v>45427</v>
      </c>
      <c r="C11419" s="1" t="n">
        <v>46011</v>
      </c>
      <c r="D11419" t="inlineStr">
        <is>
          <t>VÄSTRA GÖTALANDS LÄN</t>
        </is>
      </c>
      <c r="E11419" t="inlineStr">
        <is>
          <t>VÄNERSBORG</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19083-2022</t>
        </is>
      </c>
      <c r="B11420" s="1" t="n">
        <v>44691.48512731482</v>
      </c>
      <c r="C11420" s="1" t="n">
        <v>46011</v>
      </c>
      <c r="D11420" t="inlineStr">
        <is>
          <t>VÄSTRA GÖTALANDS LÄN</t>
        </is>
      </c>
      <c r="E11420" t="inlineStr">
        <is>
          <t>GÖTENE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5269-2025</t>
        </is>
      </c>
      <c r="B11421" s="1" t="n">
        <v>45692.40488425926</v>
      </c>
      <c r="C11421" s="1" t="n">
        <v>46011</v>
      </c>
      <c r="D11421" t="inlineStr">
        <is>
          <t>VÄSTRA GÖTALANDS LÄN</t>
        </is>
      </c>
      <c r="E11421" t="inlineStr">
        <is>
          <t>SVENLJUNGA</t>
        </is>
      </c>
      <c r="F11421" t="inlineStr">
        <is>
          <t>Kyrkan</t>
        </is>
      </c>
      <c r="G11421" t="n">
        <v>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54948-2024</t>
        </is>
      </c>
      <c r="B11422" s="1" t="n">
        <v>45619</v>
      </c>
      <c r="C11422" s="1" t="n">
        <v>46011</v>
      </c>
      <c r="D11422" t="inlineStr">
        <is>
          <t>VÄSTRA GÖTALANDS LÄN</t>
        </is>
      </c>
      <c r="E11422" t="inlineStr">
        <is>
          <t>TIBRO</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19618-2025</t>
        </is>
      </c>
      <c r="B11423" s="1" t="n">
        <v>45770.62131944444</v>
      </c>
      <c r="C11423" s="1" t="n">
        <v>46011</v>
      </c>
      <c r="D11423" t="inlineStr">
        <is>
          <t>VÄSTRA GÖTALANDS LÄN</t>
        </is>
      </c>
      <c r="E11423" t="inlineStr">
        <is>
          <t>ALINGSÅS</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19691-2025</t>
        </is>
      </c>
      <c r="B11424" s="1" t="n">
        <v>45770.88768518518</v>
      </c>
      <c r="C11424" s="1" t="n">
        <v>46011</v>
      </c>
      <c r="D11424" t="inlineStr">
        <is>
          <t>VÄSTRA GÖTALANDS LÄN</t>
        </is>
      </c>
      <c r="E11424" t="inlineStr">
        <is>
          <t>ULRICEHAMN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53973-2023</t>
        </is>
      </c>
      <c r="B11425" s="1" t="n">
        <v>45231.6437037037</v>
      </c>
      <c r="C11425" s="1" t="n">
        <v>46011</v>
      </c>
      <c r="D11425" t="inlineStr">
        <is>
          <t>VÄSTRA GÖTALANDS LÄN</t>
        </is>
      </c>
      <c r="E11425" t="inlineStr">
        <is>
          <t>BORÅS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53979-2023</t>
        </is>
      </c>
      <c r="B11426" s="1" t="n">
        <v>45231.64945601852</v>
      </c>
      <c r="C11426" s="1" t="n">
        <v>46011</v>
      </c>
      <c r="D11426" t="inlineStr">
        <is>
          <t>VÄSTRA GÖTALANDS LÄN</t>
        </is>
      </c>
      <c r="E11426" t="inlineStr">
        <is>
          <t>MARK</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42532-2022</t>
        </is>
      </c>
      <c r="B11427" s="1" t="n">
        <v>44831</v>
      </c>
      <c r="C11427" s="1" t="n">
        <v>46011</v>
      </c>
      <c r="D11427" t="inlineStr">
        <is>
          <t>VÄSTRA GÖTALANDS LÄN</t>
        </is>
      </c>
      <c r="E11427" t="inlineStr">
        <is>
          <t>BENGTSFORS</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49912-2023</t>
        </is>
      </c>
      <c r="B11428" s="1" t="n">
        <v>45214</v>
      </c>
      <c r="C11428" s="1" t="n">
        <v>46011</v>
      </c>
      <c r="D11428" t="inlineStr">
        <is>
          <t>VÄSTRA GÖTALANDS LÄN</t>
        </is>
      </c>
      <c r="E11428" t="inlineStr">
        <is>
          <t>MUNKEDAL</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51889-2024</t>
        </is>
      </c>
      <c r="B11429" s="1" t="n">
        <v>45607.57304398148</v>
      </c>
      <c r="C11429" s="1" t="n">
        <v>46011</v>
      </c>
      <c r="D11429" t="inlineStr">
        <is>
          <t>VÄSTRA GÖTALANDS LÄN</t>
        </is>
      </c>
      <c r="E11429" t="inlineStr">
        <is>
          <t>TÖREBODA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50420-2023</t>
        </is>
      </c>
      <c r="B11430" s="1" t="n">
        <v>45216.66917824074</v>
      </c>
      <c r="C11430" s="1" t="n">
        <v>46011</v>
      </c>
      <c r="D11430" t="inlineStr">
        <is>
          <t>VÄSTRA GÖTALANDS LÄN</t>
        </is>
      </c>
      <c r="E11430" t="inlineStr">
        <is>
          <t>LERUM</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51158-2024</t>
        </is>
      </c>
      <c r="B11431" s="1" t="n">
        <v>45603.57714120371</v>
      </c>
      <c r="C11431" s="1" t="n">
        <v>46011</v>
      </c>
      <c r="D11431" t="inlineStr">
        <is>
          <t>VÄSTRA GÖTALANDS LÄN</t>
        </is>
      </c>
      <c r="E11431" t="inlineStr">
        <is>
          <t>ULRICEHAMN</t>
        </is>
      </c>
      <c r="F11431" t="inlineStr">
        <is>
          <t>Kommuner</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27831-2023</t>
        </is>
      </c>
      <c r="B11432" s="1" t="n">
        <v>45098</v>
      </c>
      <c r="C11432" s="1" t="n">
        <v>46011</v>
      </c>
      <c r="D11432" t="inlineStr">
        <is>
          <t>VÄSTRA GÖTALANDS LÄN</t>
        </is>
      </c>
      <c r="E11432" t="inlineStr">
        <is>
          <t>ÅMÅL</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27832-2023</t>
        </is>
      </c>
      <c r="B11433" s="1" t="n">
        <v>45098.53766203704</v>
      </c>
      <c r="C11433" s="1" t="n">
        <v>46011</v>
      </c>
      <c r="D11433" t="inlineStr">
        <is>
          <t>VÄSTRA GÖTALANDS LÄN</t>
        </is>
      </c>
      <c r="E11433" t="inlineStr">
        <is>
          <t>BENGTSFORS</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27835-2023</t>
        </is>
      </c>
      <c r="B11434" s="1" t="n">
        <v>45098.54193287037</v>
      </c>
      <c r="C11434" s="1" t="n">
        <v>46011</v>
      </c>
      <c r="D11434" t="inlineStr">
        <is>
          <t>VÄSTRA GÖTALANDS LÄN</t>
        </is>
      </c>
      <c r="E11434" t="inlineStr">
        <is>
          <t>BENGTSFORS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27850-2023</t>
        </is>
      </c>
      <c r="B11435" s="1" t="n">
        <v>45093</v>
      </c>
      <c r="C11435" s="1" t="n">
        <v>46011</v>
      </c>
      <c r="D11435" t="inlineStr">
        <is>
          <t>VÄSTRA GÖTALANDS LÄN</t>
        </is>
      </c>
      <c r="E11435" t="inlineStr">
        <is>
          <t>MUNKEDAL</t>
        </is>
      </c>
      <c r="F11435" t="inlineStr">
        <is>
          <t>Kyrkan</t>
        </is>
      </c>
      <c r="G11435" t="n">
        <v>7.1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21143-2024</t>
        </is>
      </c>
      <c r="B11436" s="1" t="n">
        <v>45440.3950462963</v>
      </c>
      <c r="C11436" s="1" t="n">
        <v>46011</v>
      </c>
      <c r="D11436" t="inlineStr">
        <is>
          <t>VÄSTRA GÖTALANDS LÄN</t>
        </is>
      </c>
      <c r="E11436" t="inlineStr">
        <is>
          <t>ALINGSÅS</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27865-2023</t>
        </is>
      </c>
      <c r="B11437" s="1" t="n">
        <v>45098</v>
      </c>
      <c r="C11437" s="1" t="n">
        <v>46011</v>
      </c>
      <c r="D11437" t="inlineStr">
        <is>
          <t>VÄSTRA GÖTALANDS LÄN</t>
        </is>
      </c>
      <c r="E11437" t="inlineStr">
        <is>
          <t>ULRICEHAMN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61991-2024</t>
        </is>
      </c>
      <c r="B11438" s="1" t="n">
        <v>45653.70577546296</v>
      </c>
      <c r="C11438" s="1" t="n">
        <v>46011</v>
      </c>
      <c r="D11438" t="inlineStr">
        <is>
          <t>VÄSTRA GÖTALANDS LÄN</t>
        </is>
      </c>
      <c r="E11438" t="inlineStr">
        <is>
          <t>LYSEKIL</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60070-2024</t>
        </is>
      </c>
      <c r="B11439" s="1" t="n">
        <v>45642.52232638889</v>
      </c>
      <c r="C11439" s="1" t="n">
        <v>46011</v>
      </c>
      <c r="D11439" t="inlineStr">
        <is>
          <t>VÄSTRA GÖTALANDS LÄN</t>
        </is>
      </c>
      <c r="E11439" t="inlineStr">
        <is>
          <t>FALKÖPING</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62005-2024</t>
        </is>
      </c>
      <c r="B11440" s="1" t="n">
        <v>45655.43255787037</v>
      </c>
      <c r="C11440" s="1" t="n">
        <v>46011</v>
      </c>
      <c r="D11440" t="inlineStr">
        <is>
          <t>VÄSTRA GÖTALANDS LÄN</t>
        </is>
      </c>
      <c r="E11440" t="inlineStr">
        <is>
          <t>TANUM</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62031-2024</t>
        </is>
      </c>
      <c r="B11441" s="1" t="n">
        <v>45656.30733796296</v>
      </c>
      <c r="C11441" s="1" t="n">
        <v>46011</v>
      </c>
      <c r="D11441" t="inlineStr">
        <is>
          <t>VÄSTRA GÖTALANDS LÄN</t>
        </is>
      </c>
      <c r="E11441" t="inlineStr">
        <is>
          <t>TRANEMO</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25911-2022</t>
        </is>
      </c>
      <c r="B11442" s="1" t="n">
        <v>44734</v>
      </c>
      <c r="C11442" s="1" t="n">
        <v>46011</v>
      </c>
      <c r="D11442" t="inlineStr">
        <is>
          <t>VÄSTRA GÖTALANDS LÄN</t>
        </is>
      </c>
      <c r="E11442" t="inlineStr">
        <is>
          <t>MARK</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2887-2025</t>
        </is>
      </c>
      <c r="B11443" s="1" t="n">
        <v>45677</v>
      </c>
      <c r="C11443" s="1" t="n">
        <v>46011</v>
      </c>
      <c r="D11443" t="inlineStr">
        <is>
          <t>VÄSTRA GÖTALANDS LÄN</t>
        </is>
      </c>
      <c r="E11443" t="inlineStr">
        <is>
          <t>MUNKEDAL</t>
        </is>
      </c>
      <c r="F11443" t="inlineStr">
        <is>
          <t>Övriga Aktiebolag</t>
        </is>
      </c>
      <c r="G11443" t="n">
        <v>9.699999999999999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19038-2024</t>
        </is>
      </c>
      <c r="B11444" s="1" t="n">
        <v>45427.6965625</v>
      </c>
      <c r="C11444" s="1" t="n">
        <v>46011</v>
      </c>
      <c r="D11444" t="inlineStr">
        <is>
          <t>VÄSTRA GÖTALANDS LÄN</t>
        </is>
      </c>
      <c r="E11444" t="inlineStr">
        <is>
          <t>ULRICEHAMN</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45272-2023</t>
        </is>
      </c>
      <c r="B11445" s="1" t="n">
        <v>45191</v>
      </c>
      <c r="C11445" s="1" t="n">
        <v>46011</v>
      </c>
      <c r="D11445" t="inlineStr">
        <is>
          <t>VÄSTRA GÖTALANDS LÄN</t>
        </is>
      </c>
      <c r="E11445" t="inlineStr">
        <is>
          <t>SVENLJUNGA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49467-2023</t>
        </is>
      </c>
      <c r="B11446" s="1" t="n">
        <v>45211</v>
      </c>
      <c r="C11446" s="1" t="n">
        <v>46011</v>
      </c>
      <c r="D11446" t="inlineStr">
        <is>
          <t>VÄSTRA GÖTALANDS LÄN</t>
        </is>
      </c>
      <c r="E11446" t="inlineStr">
        <is>
          <t>ALINGSÅS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943-2025</t>
        </is>
      </c>
      <c r="B11447" s="1" t="n">
        <v>45666.33940972222</v>
      </c>
      <c r="C11447" s="1" t="n">
        <v>46011</v>
      </c>
      <c r="D11447" t="inlineStr">
        <is>
          <t>VÄSTRA GÖTALANDS LÄN</t>
        </is>
      </c>
      <c r="E11447" t="inlineStr">
        <is>
          <t>ULRICEHAMN</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284-2025</t>
        </is>
      </c>
      <c r="B11448" s="1" t="n">
        <v>45660.50104166667</v>
      </c>
      <c r="C11448" s="1" t="n">
        <v>46011</v>
      </c>
      <c r="D11448" t="inlineStr">
        <is>
          <t>VÄSTRA GÖTALANDS LÄN</t>
        </is>
      </c>
      <c r="E11448" t="inlineStr">
        <is>
          <t>HERRLJUNGA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51605-2024</t>
        </is>
      </c>
      <c r="B11449" s="1" t="n">
        <v>45604.67737268518</v>
      </c>
      <c r="C11449" s="1" t="n">
        <v>46011</v>
      </c>
      <c r="D11449" t="inlineStr">
        <is>
          <t>VÄSTRA GÖTALANDS LÄN</t>
        </is>
      </c>
      <c r="E11449" t="inlineStr">
        <is>
          <t>TROLLHÄTTAN</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2664-2025</t>
        </is>
      </c>
      <c r="B11450" s="1" t="n">
        <v>45676.88591435185</v>
      </c>
      <c r="C11450" s="1" t="n">
        <v>46011</v>
      </c>
      <c r="D11450" t="inlineStr">
        <is>
          <t>VÄSTRA GÖTALANDS LÄN</t>
        </is>
      </c>
      <c r="E11450" t="inlineStr">
        <is>
          <t>ULRICEHAMN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659-2025</t>
        </is>
      </c>
      <c r="B11451" s="1" t="n">
        <v>45664.68422453704</v>
      </c>
      <c r="C11451" s="1" t="n">
        <v>46011</v>
      </c>
      <c r="D11451" t="inlineStr">
        <is>
          <t>VÄSTRA GÖTALANDS LÄN</t>
        </is>
      </c>
      <c r="E11451" t="inlineStr">
        <is>
          <t>UDDEVALLA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696-2025</t>
        </is>
      </c>
      <c r="B11452" s="1" t="n">
        <v>45665.32771990741</v>
      </c>
      <c r="C11452" s="1" t="n">
        <v>46011</v>
      </c>
      <c r="D11452" t="inlineStr">
        <is>
          <t>VÄSTRA GÖTALANDS LÄN</t>
        </is>
      </c>
      <c r="E11452" t="inlineStr">
        <is>
          <t>LIDKÖPING</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56133-2023</t>
        </is>
      </c>
      <c r="B11453" s="1" t="n">
        <v>45240</v>
      </c>
      <c r="C11453" s="1" t="n">
        <v>46011</v>
      </c>
      <c r="D11453" t="inlineStr">
        <is>
          <t>VÄSTRA GÖTALANDS LÄN</t>
        </is>
      </c>
      <c r="E11453" t="inlineStr">
        <is>
          <t>MÖLNDAL</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48150-2023</t>
        </is>
      </c>
      <c r="B11454" s="1" t="n">
        <v>45205</v>
      </c>
      <c r="C11454" s="1" t="n">
        <v>46011</v>
      </c>
      <c r="D11454" t="inlineStr">
        <is>
          <t>VÄSTRA GÖTALANDS LÄN</t>
        </is>
      </c>
      <c r="E11454" t="inlineStr">
        <is>
          <t>BORÅS</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2615-2025</t>
        </is>
      </c>
      <c r="B11455" s="1" t="n">
        <v>45675.39164351852</v>
      </c>
      <c r="C11455" s="1" t="n">
        <v>46011</v>
      </c>
      <c r="D11455" t="inlineStr">
        <is>
          <t>VÄSTRA GÖTALANDS LÄN</t>
        </is>
      </c>
      <c r="E11455" t="inlineStr">
        <is>
          <t>BORÅS</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61884-2024</t>
        </is>
      </c>
      <c r="B11456" s="1" t="n">
        <v>45652.65233796297</v>
      </c>
      <c r="C11456" s="1" t="n">
        <v>46011</v>
      </c>
      <c r="D11456" t="inlineStr">
        <is>
          <t>VÄSTRA GÖTALANDS LÄN</t>
        </is>
      </c>
      <c r="E11456" t="inlineStr">
        <is>
          <t>TROLLHÄTTAN</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49729-2023</t>
        </is>
      </c>
      <c r="B11457" s="1" t="n">
        <v>45212</v>
      </c>
      <c r="C11457" s="1" t="n">
        <v>46011</v>
      </c>
      <c r="D11457" t="inlineStr">
        <is>
          <t>VÄSTRA GÖTALANDS LÄN</t>
        </is>
      </c>
      <c r="E11457" t="inlineStr">
        <is>
          <t>BORÅS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5146-2025</t>
        </is>
      </c>
      <c r="B11458" s="1" t="n">
        <v>45691.58796296296</v>
      </c>
      <c r="C11458" s="1" t="n">
        <v>46011</v>
      </c>
      <c r="D11458" t="inlineStr">
        <is>
          <t>VÄSTRA GÖTALANDS LÄN</t>
        </is>
      </c>
      <c r="E11458" t="inlineStr">
        <is>
          <t>MARIESTAD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55248-2024</t>
        </is>
      </c>
      <c r="B11459" s="1" t="n">
        <v>45621.59472222222</v>
      </c>
      <c r="C11459" s="1" t="n">
        <v>46011</v>
      </c>
      <c r="D11459" t="inlineStr">
        <is>
          <t>VÄSTRA GÖTALANDS LÄN</t>
        </is>
      </c>
      <c r="E11459" t="inlineStr">
        <is>
          <t>TANUM</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3882-2025</t>
        </is>
      </c>
      <c r="B11460" s="1" t="n">
        <v>45684.35550925926</v>
      </c>
      <c r="C11460" s="1" t="n">
        <v>46011</v>
      </c>
      <c r="D11460" t="inlineStr">
        <is>
          <t>VÄSTRA GÖTALANDS LÄN</t>
        </is>
      </c>
      <c r="E11460" t="inlineStr">
        <is>
          <t>FÄRGELANDA</t>
        </is>
      </c>
      <c r="F11460" t="inlineStr">
        <is>
          <t>Kommuner</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3884-2025</t>
        </is>
      </c>
      <c r="B11461" s="1" t="n">
        <v>45684.36178240741</v>
      </c>
      <c r="C11461" s="1" t="n">
        <v>46011</v>
      </c>
      <c r="D11461" t="inlineStr">
        <is>
          <t>VÄSTRA GÖTALANDS LÄN</t>
        </is>
      </c>
      <c r="E11461" t="inlineStr">
        <is>
          <t>FALKÖPING</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18559-2021</t>
        </is>
      </c>
      <c r="B11462" s="1" t="n">
        <v>44306.52166666667</v>
      </c>
      <c r="C11462" s="1" t="n">
        <v>46011</v>
      </c>
      <c r="D11462" t="inlineStr">
        <is>
          <t>VÄSTRA GÖTALANDS LÄN</t>
        </is>
      </c>
      <c r="E11462" t="inlineStr">
        <is>
          <t>TANUM</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39454-2023</t>
        </is>
      </c>
      <c r="B11463" s="1" t="n">
        <v>45166.75233796296</v>
      </c>
      <c r="C11463" s="1" t="n">
        <v>46011</v>
      </c>
      <c r="D11463" t="inlineStr">
        <is>
          <t>VÄSTRA GÖTALANDS LÄN</t>
        </is>
      </c>
      <c r="E11463" t="inlineStr">
        <is>
          <t>ULRICEHAMN</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22452-2021</t>
        </is>
      </c>
      <c r="B11464" s="1" t="n">
        <v>44326</v>
      </c>
      <c r="C11464" s="1" t="n">
        <v>46011</v>
      </c>
      <c r="D11464" t="inlineStr">
        <is>
          <t>VÄSTRA GÖTALANDS LÄN</t>
        </is>
      </c>
      <c r="E11464" t="inlineStr">
        <is>
          <t>ORUST</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54734-2023</t>
        </is>
      </c>
      <c r="B11465" s="1" t="n">
        <v>45236.38694444444</v>
      </c>
      <c r="C11465" s="1" t="n">
        <v>46011</v>
      </c>
      <c r="D11465" t="inlineStr">
        <is>
          <t>VÄSTRA GÖTALANDS LÄN</t>
        </is>
      </c>
      <c r="E11465" t="inlineStr">
        <is>
          <t>TÖREBODA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39747-2022</t>
        </is>
      </c>
      <c r="B11466" s="1" t="n">
        <v>44819.38932870371</v>
      </c>
      <c r="C11466" s="1" t="n">
        <v>46011</v>
      </c>
      <c r="D11466" t="inlineStr">
        <is>
          <t>VÄSTRA GÖTALANDS LÄN</t>
        </is>
      </c>
      <c r="E11466" t="inlineStr">
        <is>
          <t>TRANEMO</t>
        </is>
      </c>
      <c r="G11466" t="n">
        <v>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7764-2025</t>
        </is>
      </c>
      <c r="B11467" s="1" t="n">
        <v>45706.54957175926</v>
      </c>
      <c r="C11467" s="1" t="n">
        <v>46011</v>
      </c>
      <c r="D11467" t="inlineStr">
        <is>
          <t>VÄSTRA GÖTALANDS LÄN</t>
        </is>
      </c>
      <c r="E11467" t="inlineStr">
        <is>
          <t>ÅMÅL</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8561-2025</t>
        </is>
      </c>
      <c r="B11468" s="1" t="n">
        <v>45709.62383101852</v>
      </c>
      <c r="C11468" s="1" t="n">
        <v>46011</v>
      </c>
      <c r="D11468" t="inlineStr">
        <is>
          <t>VÄSTRA GÖTALANDS LÄN</t>
        </is>
      </c>
      <c r="E11468" t="inlineStr">
        <is>
          <t>FÄRGELANDA</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8608-2025</t>
        </is>
      </c>
      <c r="B11469" s="1" t="n">
        <v>45710.39645833334</v>
      </c>
      <c r="C11469" s="1" t="n">
        <v>46011</v>
      </c>
      <c r="D11469" t="inlineStr">
        <is>
          <t>VÄSTRA GÖTALANDS LÄN</t>
        </is>
      </c>
      <c r="E11469" t="inlineStr">
        <is>
          <t>ULRICEHAMN</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34771-2023</t>
        </is>
      </c>
      <c r="B11470" s="1" t="n">
        <v>45140</v>
      </c>
      <c r="C11470" s="1" t="n">
        <v>46011</v>
      </c>
      <c r="D11470" t="inlineStr">
        <is>
          <t>VÄSTRA GÖTALANDS LÄN</t>
        </is>
      </c>
      <c r="E11470" t="inlineStr">
        <is>
          <t>ULRICEHAMN</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34773-2023</t>
        </is>
      </c>
      <c r="B11471" s="1" t="n">
        <v>45140</v>
      </c>
      <c r="C11471" s="1" t="n">
        <v>46011</v>
      </c>
      <c r="D11471" t="inlineStr">
        <is>
          <t>VÄSTRA GÖTALANDS LÄN</t>
        </is>
      </c>
      <c r="E11471" t="inlineStr">
        <is>
          <t>ULRICEHAMN</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48295-2022</t>
        </is>
      </c>
      <c r="B11472" s="1" t="n">
        <v>44858.51763888889</v>
      </c>
      <c r="C11472" s="1" t="n">
        <v>46011</v>
      </c>
      <c r="D11472" t="inlineStr">
        <is>
          <t>VÄSTRA GÖTALANDS LÄN</t>
        </is>
      </c>
      <c r="E11472" t="inlineStr">
        <is>
          <t>DALS-ED</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23176-2021</t>
        </is>
      </c>
      <c r="B11473" s="1" t="n">
        <v>44333</v>
      </c>
      <c r="C11473" s="1" t="n">
        <v>46011</v>
      </c>
      <c r="D11473" t="inlineStr">
        <is>
          <t>VÄSTRA GÖTALANDS LÄN</t>
        </is>
      </c>
      <c r="E11473" t="inlineStr">
        <is>
          <t>ULRICEHAMN</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31724-2023</t>
        </is>
      </c>
      <c r="B11474" s="1" t="n">
        <v>45117.91390046296</v>
      </c>
      <c r="C11474" s="1" t="n">
        <v>46011</v>
      </c>
      <c r="D11474" t="inlineStr">
        <is>
          <t>VÄSTRA GÖTALANDS LÄN</t>
        </is>
      </c>
      <c r="E11474" t="inlineStr">
        <is>
          <t>BOLLEBYGD</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31726-2023</t>
        </is>
      </c>
      <c r="B11475" s="1" t="n">
        <v>45117.92457175926</v>
      </c>
      <c r="C11475" s="1" t="n">
        <v>46011</v>
      </c>
      <c r="D11475" t="inlineStr">
        <is>
          <t>VÄSTRA GÖTALANDS LÄN</t>
        </is>
      </c>
      <c r="E11475" t="inlineStr">
        <is>
          <t>BOLLEBYGD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20889-2022</t>
        </is>
      </c>
      <c r="B11476" s="1" t="n">
        <v>44701</v>
      </c>
      <c r="C11476" s="1" t="n">
        <v>46011</v>
      </c>
      <c r="D11476" t="inlineStr">
        <is>
          <t>VÄSTRA GÖTALANDS LÄN</t>
        </is>
      </c>
      <c r="E11476" t="inlineStr">
        <is>
          <t>DALS-ED</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10583-2022</t>
        </is>
      </c>
      <c r="B11477" s="1" t="n">
        <v>44624</v>
      </c>
      <c r="C11477" s="1" t="n">
        <v>46011</v>
      </c>
      <c r="D11477" t="inlineStr">
        <is>
          <t>VÄSTRA GÖTALANDS LÄN</t>
        </is>
      </c>
      <c r="E11477" t="inlineStr">
        <is>
          <t>MARK</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8047-2024</t>
        </is>
      </c>
      <c r="B11478" s="1" t="n">
        <v>45351.32293981482</v>
      </c>
      <c r="C11478" s="1" t="n">
        <v>46011</v>
      </c>
      <c r="D11478" t="inlineStr">
        <is>
          <t>VÄSTRA GÖTALANDS LÄN</t>
        </is>
      </c>
      <c r="E11478" t="inlineStr">
        <is>
          <t>STRÖMSTAD</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8099-2024</t>
        </is>
      </c>
      <c r="B11479" s="1" t="n">
        <v>45351.46194444445</v>
      </c>
      <c r="C11479" s="1" t="n">
        <v>46011</v>
      </c>
      <c r="D11479" t="inlineStr">
        <is>
          <t>VÄSTRA GÖTALANDS LÄN</t>
        </is>
      </c>
      <c r="E11479" t="inlineStr">
        <is>
          <t>TROLLHÄTTAN</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45647-2022</t>
        </is>
      </c>
      <c r="B11480" s="1" t="n">
        <v>44845</v>
      </c>
      <c r="C11480" s="1" t="n">
        <v>46011</v>
      </c>
      <c r="D11480" t="inlineStr">
        <is>
          <t>VÄSTRA GÖTALANDS LÄN</t>
        </is>
      </c>
      <c r="E11480" t="inlineStr">
        <is>
          <t>ULRICEHAMN</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15180-2022</t>
        </is>
      </c>
      <c r="B11481" s="1" t="n">
        <v>44658</v>
      </c>
      <c r="C11481" s="1" t="n">
        <v>46011</v>
      </c>
      <c r="D11481" t="inlineStr">
        <is>
          <t>VÄSTRA GÖTALANDS LÄN</t>
        </is>
      </c>
      <c r="E11481" t="inlineStr">
        <is>
          <t>ULRICEHAMN</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8177-2024</t>
        </is>
      </c>
      <c r="B11482" s="1" t="n">
        <v>45351.62673611111</v>
      </c>
      <c r="C11482" s="1" t="n">
        <v>46011</v>
      </c>
      <c r="D11482" t="inlineStr">
        <is>
          <t>VÄSTRA GÖTALANDS LÄN</t>
        </is>
      </c>
      <c r="E11482" t="inlineStr">
        <is>
          <t>ESSUNGA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17925-2022</t>
        </is>
      </c>
      <c r="B11483" s="1" t="n">
        <v>44683.57416666667</v>
      </c>
      <c r="C11483" s="1" t="n">
        <v>46011</v>
      </c>
      <c r="D11483" t="inlineStr">
        <is>
          <t>VÄSTRA GÖTALANDS LÄN</t>
        </is>
      </c>
      <c r="E11483" t="inlineStr">
        <is>
          <t>BOLLEBYGD</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21429-2022</t>
        </is>
      </c>
      <c r="B11484" s="1" t="n">
        <v>44706</v>
      </c>
      <c r="C11484" s="1" t="n">
        <v>46011</v>
      </c>
      <c r="D11484" t="inlineStr">
        <is>
          <t>VÄSTRA GÖTALANDS LÄN</t>
        </is>
      </c>
      <c r="E11484" t="inlineStr">
        <is>
          <t>GÖTENE</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57412-2024</t>
        </is>
      </c>
      <c r="B11485" s="1" t="n">
        <v>45629.76458333333</v>
      </c>
      <c r="C11485" s="1" t="n">
        <v>46011</v>
      </c>
      <c r="D11485" t="inlineStr">
        <is>
          <t>VÄSTRA GÖTALANDS LÄN</t>
        </is>
      </c>
      <c r="E11485" t="inlineStr">
        <is>
          <t>FALKÖPING</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57420-2024</t>
        </is>
      </c>
      <c r="B11486" s="1" t="n">
        <v>45629</v>
      </c>
      <c r="C11486" s="1" t="n">
        <v>46011</v>
      </c>
      <c r="D11486" t="inlineStr">
        <is>
          <t>VÄSTRA GÖTALANDS LÄN</t>
        </is>
      </c>
      <c r="E11486" t="inlineStr">
        <is>
          <t>VARA</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57422-2024</t>
        </is>
      </c>
      <c r="B11487" s="1" t="n">
        <v>45629.81206018518</v>
      </c>
      <c r="C11487" s="1" t="n">
        <v>46011</v>
      </c>
      <c r="D11487" t="inlineStr">
        <is>
          <t>VÄSTRA GÖTALANDS LÄN</t>
        </is>
      </c>
      <c r="E11487" t="inlineStr">
        <is>
          <t>BORÅS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17488-2022</t>
        </is>
      </c>
      <c r="B11488" s="1" t="n">
        <v>44679.46383101852</v>
      </c>
      <c r="C11488" s="1" t="n">
        <v>46011</v>
      </c>
      <c r="D11488" t="inlineStr">
        <is>
          <t>VÄSTRA GÖTALANDS LÄN</t>
        </is>
      </c>
      <c r="E11488" t="inlineStr">
        <is>
          <t>TRANEMO</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38578-2023</t>
        </is>
      </c>
      <c r="B11489" s="1" t="n">
        <v>45162.62353009259</v>
      </c>
      <c r="C11489" s="1" t="n">
        <v>46011</v>
      </c>
      <c r="D11489" t="inlineStr">
        <is>
          <t>VÄSTRA GÖTALANDS LÄN</t>
        </is>
      </c>
      <c r="E11489" t="inlineStr">
        <is>
          <t>DALS-ED</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38580-2023</t>
        </is>
      </c>
      <c r="B11490" s="1" t="n">
        <v>45162</v>
      </c>
      <c r="C11490" s="1" t="n">
        <v>46011</v>
      </c>
      <c r="D11490" t="inlineStr">
        <is>
          <t>VÄSTRA GÖTALANDS LÄN</t>
        </is>
      </c>
      <c r="E11490" t="inlineStr">
        <is>
          <t>MARIESTAD</t>
        </is>
      </c>
      <c r="F11490" t="inlineStr">
        <is>
          <t>Kommuner</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8001-2025</t>
        </is>
      </c>
      <c r="B11491" s="1" t="n">
        <v>45707.52650462963</v>
      </c>
      <c r="C11491" s="1" t="n">
        <v>46011</v>
      </c>
      <c r="D11491" t="inlineStr">
        <is>
          <t>VÄSTRA GÖTALANDS LÄN</t>
        </is>
      </c>
      <c r="E11491" t="inlineStr">
        <is>
          <t>GULLSPÅNG</t>
        </is>
      </c>
      <c r="F11491" t="inlineStr">
        <is>
          <t>Kyrkan</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50005-2023</t>
        </is>
      </c>
      <c r="B11492" s="1" t="n">
        <v>45215.44563657408</v>
      </c>
      <c r="C11492" s="1" t="n">
        <v>46011</v>
      </c>
      <c r="D11492" t="inlineStr">
        <is>
          <t>VÄSTRA GÖTALANDS LÄN</t>
        </is>
      </c>
      <c r="E11492" t="inlineStr">
        <is>
          <t>BENGTSFORS</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28498-2023</t>
        </is>
      </c>
      <c r="B11493" s="1" t="n">
        <v>45103</v>
      </c>
      <c r="C11493" s="1" t="n">
        <v>46011</v>
      </c>
      <c r="D11493" t="inlineStr">
        <is>
          <t>VÄSTRA GÖTALANDS LÄN</t>
        </is>
      </c>
      <c r="E11493" t="inlineStr">
        <is>
          <t>BENGTSFORS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26816-2022</t>
        </is>
      </c>
      <c r="B11494" s="1" t="n">
        <v>44740.44717592592</v>
      </c>
      <c r="C11494" s="1" t="n">
        <v>46011</v>
      </c>
      <c r="D11494" t="inlineStr">
        <is>
          <t>VÄSTRA GÖTALANDS LÄN</t>
        </is>
      </c>
      <c r="E11494" t="inlineStr">
        <is>
          <t>HERRLJUNGA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19874-2022</t>
        </is>
      </c>
      <c r="B11495" s="1" t="n">
        <v>44697</v>
      </c>
      <c r="C11495" s="1" t="n">
        <v>46011</v>
      </c>
      <c r="D11495" t="inlineStr">
        <is>
          <t>VÄSTRA GÖTALANDS LÄN</t>
        </is>
      </c>
      <c r="E11495" t="inlineStr">
        <is>
          <t>TÖREBODA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39766-2023</t>
        </is>
      </c>
      <c r="B11496" s="1" t="n">
        <v>45167</v>
      </c>
      <c r="C11496" s="1" t="n">
        <v>46011</v>
      </c>
      <c r="D11496" t="inlineStr">
        <is>
          <t>VÄSTRA GÖTALANDS LÄN</t>
        </is>
      </c>
      <c r="E11496" t="inlineStr">
        <is>
          <t>MARIESTAD</t>
        </is>
      </c>
      <c r="G11496" t="n">
        <v>26.5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35647-2023</t>
        </is>
      </c>
      <c r="B11497" s="1" t="n">
        <v>45147</v>
      </c>
      <c r="C11497" s="1" t="n">
        <v>46011</v>
      </c>
      <c r="D11497" t="inlineStr">
        <is>
          <t>VÄSTRA GÖTALANDS LÄN</t>
        </is>
      </c>
      <c r="E11497" t="inlineStr">
        <is>
          <t>MUNKEDAL</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5635-2025</t>
        </is>
      </c>
      <c r="B11498" s="1" t="n">
        <v>45693.67005787037</v>
      </c>
      <c r="C11498" s="1" t="n">
        <v>46011</v>
      </c>
      <c r="D11498" t="inlineStr">
        <is>
          <t>VÄSTRA GÖTALANDS LÄN</t>
        </is>
      </c>
      <c r="E11498" t="inlineStr">
        <is>
          <t>UDDEVALLA</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56670-2024</t>
        </is>
      </c>
      <c r="B11499" s="1" t="n">
        <v>45626.62587962963</v>
      </c>
      <c r="C11499" s="1" t="n">
        <v>46011</v>
      </c>
      <c r="D11499" t="inlineStr">
        <is>
          <t>VÄSTRA GÖTALANDS LÄN</t>
        </is>
      </c>
      <c r="E11499" t="inlineStr">
        <is>
          <t>ULRICEHAMN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56672-2024</t>
        </is>
      </c>
      <c r="B11500" s="1" t="n">
        <v>45626.75635416667</v>
      </c>
      <c r="C11500" s="1" t="n">
        <v>46011</v>
      </c>
      <c r="D11500" t="inlineStr">
        <is>
          <t>VÄSTRA GÖTALANDS LÄN</t>
        </is>
      </c>
      <c r="E11500" t="inlineStr">
        <is>
          <t>ULRICEHAMN</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56676-2024</t>
        </is>
      </c>
      <c r="B11501" s="1" t="n">
        <v>45626.8178125</v>
      </c>
      <c r="C11501" s="1" t="n">
        <v>46011</v>
      </c>
      <c r="D11501" t="inlineStr">
        <is>
          <t>VÄSTRA GÖTALANDS LÄN</t>
        </is>
      </c>
      <c r="E11501" t="inlineStr">
        <is>
          <t>ULRICEHAMN</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35800-2023</t>
        </is>
      </c>
      <c r="B11502" s="1" t="n">
        <v>45148</v>
      </c>
      <c r="C11502" s="1" t="n">
        <v>46011</v>
      </c>
      <c r="D11502" t="inlineStr">
        <is>
          <t>VÄSTRA GÖTALANDS LÄN</t>
        </is>
      </c>
      <c r="E11502" t="inlineStr">
        <is>
          <t>BORÅS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35819-2023</t>
        </is>
      </c>
      <c r="B11503" s="1" t="n">
        <v>45148.45607638889</v>
      </c>
      <c r="C11503" s="1" t="n">
        <v>46011</v>
      </c>
      <c r="D11503" t="inlineStr">
        <is>
          <t>VÄSTRA GÖTALANDS LÄN</t>
        </is>
      </c>
      <c r="E11503" t="inlineStr">
        <is>
          <t>FALKÖPING</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27167-2023</t>
        </is>
      </c>
      <c r="B11504" s="1" t="n">
        <v>45096</v>
      </c>
      <c r="C11504" s="1" t="n">
        <v>46011</v>
      </c>
      <c r="D11504" t="inlineStr">
        <is>
          <t>VÄSTRA GÖTALANDS LÄN</t>
        </is>
      </c>
      <c r="E11504" t="inlineStr">
        <is>
          <t>TRANEMO</t>
        </is>
      </c>
      <c r="F11504" t="inlineStr">
        <is>
          <t>Kommuner</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58097-2023</t>
        </is>
      </c>
      <c r="B11505" s="1" t="n">
        <v>45248.84173611111</v>
      </c>
      <c r="C11505" s="1" t="n">
        <v>46011</v>
      </c>
      <c r="D11505" t="inlineStr">
        <is>
          <t>VÄSTRA GÖTALANDS LÄN</t>
        </is>
      </c>
      <c r="E11505" t="inlineStr">
        <is>
          <t>ÅMÅL</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27172-2023</t>
        </is>
      </c>
      <c r="B11506" s="1" t="n">
        <v>45096</v>
      </c>
      <c r="C11506" s="1" t="n">
        <v>46011</v>
      </c>
      <c r="D11506" t="inlineStr">
        <is>
          <t>VÄSTRA GÖTALANDS LÄN</t>
        </is>
      </c>
      <c r="E11506" t="inlineStr">
        <is>
          <t>TRANEMO</t>
        </is>
      </c>
      <c r="F11506" t="inlineStr">
        <is>
          <t>Kommuner</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27186-2023</t>
        </is>
      </c>
      <c r="B11507" s="1" t="n">
        <v>45096.54045138889</v>
      </c>
      <c r="C11507" s="1" t="n">
        <v>46011</v>
      </c>
      <c r="D11507" t="inlineStr">
        <is>
          <t>VÄSTRA GÖTALANDS LÄN</t>
        </is>
      </c>
      <c r="E11507" t="inlineStr">
        <is>
          <t>TRANEMO</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33950-2023</t>
        </is>
      </c>
      <c r="B11508" s="1" t="n">
        <v>45134</v>
      </c>
      <c r="C11508" s="1" t="n">
        <v>46011</v>
      </c>
      <c r="D11508" t="inlineStr">
        <is>
          <t>VÄSTRA GÖTALANDS LÄN</t>
        </is>
      </c>
      <c r="E11508" t="inlineStr">
        <is>
          <t>STENUNGSUND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4795-2025</t>
        </is>
      </c>
      <c r="B11509" s="1" t="n">
        <v>45688.57997685186</v>
      </c>
      <c r="C11509" s="1" t="n">
        <v>46011</v>
      </c>
      <c r="D11509" t="inlineStr">
        <is>
          <t>VÄSTRA GÖTALANDS LÄN</t>
        </is>
      </c>
      <c r="E11509" t="inlineStr">
        <is>
          <t>BENGTSFORS</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21751-2022</t>
        </is>
      </c>
      <c r="B11510" s="1" t="n">
        <v>44708.43361111111</v>
      </c>
      <c r="C11510" s="1" t="n">
        <v>46011</v>
      </c>
      <c r="D11510" t="inlineStr">
        <is>
          <t>VÄSTRA GÖTALANDS LÄN</t>
        </is>
      </c>
      <c r="E11510" t="inlineStr">
        <is>
          <t>BOLLEBYGD</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7363-2025</t>
        </is>
      </c>
      <c r="B11511" s="1" t="n">
        <v>45704</v>
      </c>
      <c r="C11511" s="1" t="n">
        <v>46011</v>
      </c>
      <c r="D11511" t="inlineStr">
        <is>
          <t>VÄSTRA GÖTALANDS LÄN</t>
        </is>
      </c>
      <c r="E11511" t="inlineStr">
        <is>
          <t>ULRICEHAMN</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37837-2023</t>
        </is>
      </c>
      <c r="B11512" s="1" t="n">
        <v>45156</v>
      </c>
      <c r="C11512" s="1" t="n">
        <v>46011</v>
      </c>
      <c r="D11512" t="inlineStr">
        <is>
          <t>VÄSTRA GÖTALANDS LÄN</t>
        </is>
      </c>
      <c r="E11512" t="inlineStr">
        <is>
          <t>TÖREBODA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7389-2025</t>
        </is>
      </c>
      <c r="B11513" s="1" t="n">
        <v>45705.3318287037</v>
      </c>
      <c r="C11513" s="1" t="n">
        <v>46011</v>
      </c>
      <c r="D11513" t="inlineStr">
        <is>
          <t>VÄSTRA GÖTALANDS LÄN</t>
        </is>
      </c>
      <c r="E11513" t="inlineStr">
        <is>
          <t>FÄRGELANDA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19977-2022</t>
        </is>
      </c>
      <c r="B11514" s="1" t="n">
        <v>44697</v>
      </c>
      <c r="C11514" s="1" t="n">
        <v>46011</v>
      </c>
      <c r="D11514" t="inlineStr">
        <is>
          <t>VÄSTRA GÖTALANDS LÄN</t>
        </is>
      </c>
      <c r="E11514" t="inlineStr">
        <is>
          <t>HÄRRYDA</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25786-2023</t>
        </is>
      </c>
      <c r="B11515" s="1" t="n">
        <v>45090.4809375</v>
      </c>
      <c r="C11515" s="1" t="n">
        <v>46011</v>
      </c>
      <c r="D11515" t="inlineStr">
        <is>
          <t>VÄSTRA GÖTALANDS LÄN</t>
        </is>
      </c>
      <c r="E11515" t="inlineStr">
        <is>
          <t>BENGTSFORS</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20284-2022</t>
        </is>
      </c>
      <c r="B11516" s="1" t="n">
        <v>44698.75375</v>
      </c>
      <c r="C11516" s="1" t="n">
        <v>46011</v>
      </c>
      <c r="D11516" t="inlineStr">
        <is>
          <t>VÄSTRA GÖTALANDS LÄN</t>
        </is>
      </c>
      <c r="E11516" t="inlineStr">
        <is>
          <t>BENGTSFORS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25826-2023</t>
        </is>
      </c>
      <c r="B11517" s="1" t="n">
        <v>45090</v>
      </c>
      <c r="C11517" s="1" t="n">
        <v>46011</v>
      </c>
      <c r="D11517" t="inlineStr">
        <is>
          <t>VÄSTRA GÖTALANDS LÄN</t>
        </is>
      </c>
      <c r="E11517" t="inlineStr">
        <is>
          <t>TIDAHOLM</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25832-2023</t>
        </is>
      </c>
      <c r="B11518" s="1" t="n">
        <v>45090.56047453704</v>
      </c>
      <c r="C11518" s="1" t="n">
        <v>46011</v>
      </c>
      <c r="D11518" t="inlineStr">
        <is>
          <t>VÄSTRA GÖTALANDS LÄN</t>
        </is>
      </c>
      <c r="E11518" t="inlineStr">
        <is>
          <t>BENGTSFORS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34219-2023</t>
        </is>
      </c>
      <c r="B11519" s="1" t="n">
        <v>45138</v>
      </c>
      <c r="C11519" s="1" t="n">
        <v>46011</v>
      </c>
      <c r="D11519" t="inlineStr">
        <is>
          <t>VÄSTRA GÖTALANDS LÄN</t>
        </is>
      </c>
      <c r="E11519" t="inlineStr">
        <is>
          <t>MUNKEDAL</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34222-2023</t>
        </is>
      </c>
      <c r="B11520" s="1" t="n">
        <v>45138.49607638889</v>
      </c>
      <c r="C11520" s="1" t="n">
        <v>46011</v>
      </c>
      <c r="D11520" t="inlineStr">
        <is>
          <t>VÄSTRA GÖTALANDS LÄN</t>
        </is>
      </c>
      <c r="E11520" t="inlineStr">
        <is>
          <t>MUNKEDAL</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17715-2025</t>
        </is>
      </c>
      <c r="B11521" s="1" t="n">
        <v>45758.44545138889</v>
      </c>
      <c r="C11521" s="1" t="n">
        <v>46011</v>
      </c>
      <c r="D11521" t="inlineStr">
        <is>
          <t>VÄSTRA GÖTALANDS LÄN</t>
        </is>
      </c>
      <c r="E11521" t="inlineStr">
        <is>
          <t>GRÄSTORP</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59140-2024</t>
        </is>
      </c>
      <c r="B11522" s="1" t="n">
        <v>45637.44023148148</v>
      </c>
      <c r="C11522" s="1" t="n">
        <v>46011</v>
      </c>
      <c r="D11522" t="inlineStr">
        <is>
          <t>VÄSTRA GÖTALANDS LÄN</t>
        </is>
      </c>
      <c r="E11522" t="inlineStr">
        <is>
          <t>TIDAHOLM</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8956-2025</t>
        </is>
      </c>
      <c r="B11523" s="1" t="n">
        <v>45713.46825231481</v>
      </c>
      <c r="C11523" s="1" t="n">
        <v>46011</v>
      </c>
      <c r="D11523" t="inlineStr">
        <is>
          <t>VÄSTRA GÖTALANDS LÄN</t>
        </is>
      </c>
      <c r="E11523" t="inlineStr">
        <is>
          <t>ALE</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8977-2025</t>
        </is>
      </c>
      <c r="B11524" s="1" t="n">
        <v>45713.50826388889</v>
      </c>
      <c r="C11524" s="1" t="n">
        <v>46011</v>
      </c>
      <c r="D11524" t="inlineStr">
        <is>
          <t>VÄSTRA GÖTALANDS LÄN</t>
        </is>
      </c>
      <c r="E11524" t="inlineStr">
        <is>
          <t>MARK</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9005-2025</t>
        </is>
      </c>
      <c r="B11525" s="1" t="n">
        <v>45713.57063657408</v>
      </c>
      <c r="C11525" s="1" t="n">
        <v>46011</v>
      </c>
      <c r="D11525" t="inlineStr">
        <is>
          <t>VÄSTRA GÖTALANDS LÄN</t>
        </is>
      </c>
      <c r="E11525" t="inlineStr">
        <is>
          <t>TRANEMO</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18129-2025</t>
        </is>
      </c>
      <c r="B11526" s="1" t="n">
        <v>45761.59930555556</v>
      </c>
      <c r="C11526" s="1" t="n">
        <v>46011</v>
      </c>
      <c r="D11526" t="inlineStr">
        <is>
          <t>VÄSTRA GÖTALANDS LÄN</t>
        </is>
      </c>
      <c r="E11526" t="inlineStr">
        <is>
          <t>MARIESTAD</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54298-2023</t>
        </is>
      </c>
      <c r="B11527" s="1" t="n">
        <v>45232.7922337963</v>
      </c>
      <c r="C11527" s="1" t="n">
        <v>46011</v>
      </c>
      <c r="D11527" t="inlineStr">
        <is>
          <t>VÄSTRA GÖTALANDS LÄN</t>
        </is>
      </c>
      <c r="E11527" t="inlineStr">
        <is>
          <t>TIDAHOLM</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33772-2023</t>
        </is>
      </c>
      <c r="B11528" s="1" t="n">
        <v>45133</v>
      </c>
      <c r="C11528" s="1" t="n">
        <v>46011</v>
      </c>
      <c r="D11528" t="inlineStr">
        <is>
          <t>VÄSTRA GÖTALANDS LÄN</t>
        </is>
      </c>
      <c r="E11528" t="inlineStr">
        <is>
          <t>STRÖMSTAD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46798-2024</t>
        </is>
      </c>
      <c r="B11529" s="1" t="n">
        <v>45583</v>
      </c>
      <c r="C11529" s="1" t="n">
        <v>46011</v>
      </c>
      <c r="D11529" t="inlineStr">
        <is>
          <t>VÄSTRA GÖTALANDS LÄN</t>
        </is>
      </c>
      <c r="E11529" t="inlineStr">
        <is>
          <t>HÄRRYDA</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38750-2023</t>
        </is>
      </c>
      <c r="B11530" s="1" t="n">
        <v>45163.40059027778</v>
      </c>
      <c r="C11530" s="1" t="n">
        <v>46011</v>
      </c>
      <c r="D11530" t="inlineStr">
        <is>
          <t>VÄSTRA GÖTALANDS LÄN</t>
        </is>
      </c>
      <c r="E11530" t="inlineStr">
        <is>
          <t>SKÖVDE</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25884-2023</t>
        </is>
      </c>
      <c r="B11531" s="1" t="n">
        <v>45085</v>
      </c>
      <c r="C11531" s="1" t="n">
        <v>46011</v>
      </c>
      <c r="D11531" t="inlineStr">
        <is>
          <t>VÄSTRA GÖTALANDS LÄN</t>
        </is>
      </c>
      <c r="E11531" t="inlineStr">
        <is>
          <t>STRÖMSTAD</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35408-2023</t>
        </is>
      </c>
      <c r="B11532" s="1" t="n">
        <v>45146</v>
      </c>
      <c r="C11532" s="1" t="n">
        <v>46011</v>
      </c>
      <c r="D11532" t="inlineStr">
        <is>
          <t>VÄSTRA GÖTALANDS LÄN</t>
        </is>
      </c>
      <c r="E11532" t="inlineStr">
        <is>
          <t>GÖTENE</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5681-2021</t>
        </is>
      </c>
      <c r="B11533" s="1" t="n">
        <v>44230</v>
      </c>
      <c r="C11533" s="1" t="n">
        <v>46011</v>
      </c>
      <c r="D11533" t="inlineStr">
        <is>
          <t>VÄSTRA GÖTALANDS LÄN</t>
        </is>
      </c>
      <c r="E11533" t="inlineStr">
        <is>
          <t>BOLLEBYGD</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1094-2025</t>
        </is>
      </c>
      <c r="B11534" s="1" t="n">
        <v>45665</v>
      </c>
      <c r="C11534" s="1" t="n">
        <v>46011</v>
      </c>
      <c r="D11534" t="inlineStr">
        <is>
          <t>VÄSTRA GÖTALANDS LÄN</t>
        </is>
      </c>
      <c r="E11534" t="inlineStr">
        <is>
          <t>HJO</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20556-2025</t>
        </is>
      </c>
      <c r="B11535" s="1" t="n">
        <v>45775.6441087963</v>
      </c>
      <c r="C11535" s="1" t="n">
        <v>46011</v>
      </c>
      <c r="D11535" t="inlineStr">
        <is>
          <t>VÄSTRA GÖTALANDS LÄN</t>
        </is>
      </c>
      <c r="E11535" t="inlineStr">
        <is>
          <t>SVENLJUNGA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12333-2022</t>
        </is>
      </c>
      <c r="B11536" s="1" t="n">
        <v>44637.62513888889</v>
      </c>
      <c r="C11536" s="1" t="n">
        <v>46011</v>
      </c>
      <c r="D11536" t="inlineStr">
        <is>
          <t>VÄSTRA GÖTALANDS LÄN</t>
        </is>
      </c>
      <c r="E11536" t="inlineStr">
        <is>
          <t>VARA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11656-2021</t>
        </is>
      </c>
      <c r="B11537" s="1" t="n">
        <v>44264</v>
      </c>
      <c r="C11537" s="1" t="n">
        <v>46011</v>
      </c>
      <c r="D11537" t="inlineStr">
        <is>
          <t>VÄSTRA GÖTALANDS LÄN</t>
        </is>
      </c>
      <c r="E11537" t="inlineStr">
        <is>
          <t>DALS-ED</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54201-2023</t>
        </is>
      </c>
      <c r="B11538" s="1" t="n">
        <v>45232.55328703704</v>
      </c>
      <c r="C11538" s="1" t="n">
        <v>46011</v>
      </c>
      <c r="D11538" t="inlineStr">
        <is>
          <t>VÄSTRA GÖTALANDS LÄN</t>
        </is>
      </c>
      <c r="E11538" t="inlineStr">
        <is>
          <t>VARA</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18017-2024</t>
        </is>
      </c>
      <c r="B11539" s="1" t="n">
        <v>45420</v>
      </c>
      <c r="C11539" s="1" t="n">
        <v>46011</v>
      </c>
      <c r="D11539" t="inlineStr">
        <is>
          <t>VÄSTRA GÖTALANDS LÄN</t>
        </is>
      </c>
      <c r="E11539" t="inlineStr">
        <is>
          <t>SKARA</t>
        </is>
      </c>
      <c r="F11539" t="inlineStr">
        <is>
          <t>Sveaskog</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35487-2024</t>
        </is>
      </c>
      <c r="B11540" s="1" t="n">
        <v>45531</v>
      </c>
      <c r="C11540" s="1" t="n">
        <v>46011</v>
      </c>
      <c r="D11540" t="inlineStr">
        <is>
          <t>VÄSTRA GÖTALANDS LÄN</t>
        </is>
      </c>
      <c r="E11540" t="inlineStr">
        <is>
          <t>TÖREBODA</t>
        </is>
      </c>
      <c r="G11540" t="n">
        <v>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55794-2023</t>
        </is>
      </c>
      <c r="B11541" s="1" t="n">
        <v>45239.54755787037</v>
      </c>
      <c r="C11541" s="1" t="n">
        <v>46011</v>
      </c>
      <c r="D11541" t="inlineStr">
        <is>
          <t>VÄSTRA GÖTALANDS LÄN</t>
        </is>
      </c>
      <c r="E11541" t="inlineStr">
        <is>
          <t>VÄNERSBORG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24351-2021</t>
        </is>
      </c>
      <c r="B11542" s="1" t="n">
        <v>44337</v>
      </c>
      <c r="C11542" s="1" t="n">
        <v>46011</v>
      </c>
      <c r="D11542" t="inlineStr">
        <is>
          <t>VÄSTRA GÖTALANDS LÄN</t>
        </is>
      </c>
      <c r="E11542" t="inlineStr">
        <is>
          <t>ESSUNGA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30792-2023</t>
        </is>
      </c>
      <c r="B11543" s="1" t="n">
        <v>45112.72848379629</v>
      </c>
      <c r="C11543" s="1" t="n">
        <v>46011</v>
      </c>
      <c r="D11543" t="inlineStr">
        <is>
          <t>VÄSTRA GÖTALANDS LÄN</t>
        </is>
      </c>
      <c r="E11543" t="inlineStr">
        <is>
          <t>BOLLEBYGD</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54405-2023</t>
        </is>
      </c>
      <c r="B11544" s="1" t="n">
        <v>45233.38435185186</v>
      </c>
      <c r="C11544" s="1" t="n">
        <v>46011</v>
      </c>
      <c r="D11544" t="inlineStr">
        <is>
          <t>VÄSTRA GÖTALANDS LÄN</t>
        </is>
      </c>
      <c r="E11544" t="inlineStr">
        <is>
          <t>ULRICEHAMN</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45521-2022</t>
        </is>
      </c>
      <c r="B11545" s="1" t="n">
        <v>44845.45263888889</v>
      </c>
      <c r="C11545" s="1" t="n">
        <v>46011</v>
      </c>
      <c r="D11545" t="inlineStr">
        <is>
          <t>VÄSTRA GÖTALANDS LÄN</t>
        </is>
      </c>
      <c r="E11545" t="inlineStr">
        <is>
          <t>TROLLHÄTTAN</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35725-2023</t>
        </is>
      </c>
      <c r="B11546" s="1" t="n">
        <v>45147.74729166667</v>
      </c>
      <c r="C11546" s="1" t="n">
        <v>46011</v>
      </c>
      <c r="D11546" t="inlineStr">
        <is>
          <t>VÄSTRA GÖTALANDS LÄN</t>
        </is>
      </c>
      <c r="E11546" t="inlineStr">
        <is>
          <t>TIDAHOLM</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1636-2022</t>
        </is>
      </c>
      <c r="B11547" s="1" t="n">
        <v>44574.24587962963</v>
      </c>
      <c r="C11547" s="1" t="n">
        <v>46011</v>
      </c>
      <c r="D11547" t="inlineStr">
        <is>
          <t>VÄSTRA GÖTALANDS LÄN</t>
        </is>
      </c>
      <c r="E11547" t="inlineStr">
        <is>
          <t>MARIESTAD</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50397-2023</t>
        </is>
      </c>
      <c r="B11548" s="1" t="n">
        <v>45216.6400462963</v>
      </c>
      <c r="C11548" s="1" t="n">
        <v>46011</v>
      </c>
      <c r="D11548" t="inlineStr">
        <is>
          <t>VÄSTRA GÖTALANDS LÄN</t>
        </is>
      </c>
      <c r="E11548" t="inlineStr">
        <is>
          <t>LERUM</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33885-2023</t>
        </is>
      </c>
      <c r="B11549" s="1" t="n">
        <v>45134.30709490741</v>
      </c>
      <c r="C11549" s="1" t="n">
        <v>46011</v>
      </c>
      <c r="D11549" t="inlineStr">
        <is>
          <t>VÄSTRA GÖTALANDS LÄN</t>
        </is>
      </c>
      <c r="E11549" t="inlineStr">
        <is>
          <t>ULRICEHAMN</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33915-2023</t>
        </is>
      </c>
      <c r="B11550" s="1" t="n">
        <v>45134.43918981482</v>
      </c>
      <c r="C11550" s="1" t="n">
        <v>46011</v>
      </c>
      <c r="D11550" t="inlineStr">
        <is>
          <t>VÄSTRA GÖTALANDS LÄN</t>
        </is>
      </c>
      <c r="E11550" t="inlineStr">
        <is>
          <t>VÄNERSBORG</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40950-2023</t>
        </is>
      </c>
      <c r="B11551" s="1" t="n">
        <v>45173</v>
      </c>
      <c r="C11551" s="1" t="n">
        <v>46011</v>
      </c>
      <c r="D11551" t="inlineStr">
        <is>
          <t>VÄSTRA GÖTALANDS LÄN</t>
        </is>
      </c>
      <c r="E11551" t="inlineStr">
        <is>
          <t>STENUNGSUND</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7002-2025</t>
        </is>
      </c>
      <c r="B11552" s="1" t="n">
        <v>45701.59832175926</v>
      </c>
      <c r="C11552" s="1" t="n">
        <v>46011</v>
      </c>
      <c r="D11552" t="inlineStr">
        <is>
          <t>VÄSTRA GÖTALANDS LÄN</t>
        </is>
      </c>
      <c r="E11552" t="inlineStr">
        <is>
          <t>TRANEMO</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7018-2025</t>
        </is>
      </c>
      <c r="B11553" s="1" t="n">
        <v>45701.6132175926</v>
      </c>
      <c r="C11553" s="1" t="n">
        <v>46011</v>
      </c>
      <c r="D11553" t="inlineStr">
        <is>
          <t>VÄSTRA GÖTALANDS LÄN</t>
        </is>
      </c>
      <c r="E11553" t="inlineStr">
        <is>
          <t>SVENLJUNGA</t>
        </is>
      </c>
      <c r="F11553" t="inlineStr">
        <is>
          <t>Sveaskog</t>
        </is>
      </c>
      <c r="G11553" t="n">
        <v>9.6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7020-2025</t>
        </is>
      </c>
      <c r="B11554" s="1" t="n">
        <v>45701.6150462963</v>
      </c>
      <c r="C11554" s="1" t="n">
        <v>46011</v>
      </c>
      <c r="D11554" t="inlineStr">
        <is>
          <t>VÄSTRA GÖTALANDS LÄN</t>
        </is>
      </c>
      <c r="E11554" t="inlineStr">
        <is>
          <t>ULRICEHAMN</t>
        </is>
      </c>
      <c r="F11554" t="inlineStr">
        <is>
          <t>Kyrkan</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7046-2025</t>
        </is>
      </c>
      <c r="B11555" s="1" t="n">
        <v>45701.6434375</v>
      </c>
      <c r="C11555" s="1" t="n">
        <v>46011</v>
      </c>
      <c r="D11555" t="inlineStr">
        <is>
          <t>VÄSTRA GÖTALANDS LÄN</t>
        </is>
      </c>
      <c r="E11555" t="inlineStr">
        <is>
          <t>BOLLEBYGD</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18278-2025</t>
        </is>
      </c>
      <c r="B11556" s="1" t="n">
        <v>45762.3846412037</v>
      </c>
      <c r="C11556" s="1" t="n">
        <v>46011</v>
      </c>
      <c r="D11556" t="inlineStr">
        <is>
          <t>VÄSTRA GÖTALANDS LÄN</t>
        </is>
      </c>
      <c r="E11556" t="inlineStr">
        <is>
          <t>MUNKEDAL</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19572-2022</t>
        </is>
      </c>
      <c r="B11557" s="1" t="n">
        <v>44693.84070601852</v>
      </c>
      <c r="C11557" s="1" t="n">
        <v>46011</v>
      </c>
      <c r="D11557" t="inlineStr">
        <is>
          <t>VÄSTRA GÖTALANDS LÄN</t>
        </is>
      </c>
      <c r="E11557" t="inlineStr">
        <is>
          <t>TIDAHOLM</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5705-2025</t>
        </is>
      </c>
      <c r="B11558" s="1" t="n">
        <v>45694</v>
      </c>
      <c r="C11558" s="1" t="n">
        <v>46011</v>
      </c>
      <c r="D11558" t="inlineStr">
        <is>
          <t>VÄSTRA GÖTALANDS LÄN</t>
        </is>
      </c>
      <c r="E11558" t="inlineStr">
        <is>
          <t>KUNGÄLV</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5711-2025</t>
        </is>
      </c>
      <c r="B11559" s="1" t="n">
        <v>45694.45484953704</v>
      </c>
      <c r="C11559" s="1" t="n">
        <v>46011</v>
      </c>
      <c r="D11559" t="inlineStr">
        <is>
          <t>VÄSTRA GÖTALANDS LÄN</t>
        </is>
      </c>
      <c r="E11559" t="inlineStr">
        <is>
          <t>TRANEMO</t>
        </is>
      </c>
      <c r="F11559" t="inlineStr">
        <is>
          <t>Kyrkan</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18511-2022</t>
        </is>
      </c>
      <c r="B11560" s="1" t="n">
        <v>44686.65587962963</v>
      </c>
      <c r="C11560" s="1" t="n">
        <v>46011</v>
      </c>
      <c r="D11560" t="inlineStr">
        <is>
          <t>VÄSTRA GÖTALANDS LÄN</t>
        </is>
      </c>
      <c r="E11560" t="inlineStr">
        <is>
          <t>HERRLJUNGA</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12016-2025</t>
        </is>
      </c>
      <c r="B11561" s="1" t="n">
        <v>45728</v>
      </c>
      <c r="C11561" s="1" t="n">
        <v>46011</v>
      </c>
      <c r="D11561" t="inlineStr">
        <is>
          <t>VÄSTRA GÖTALANDS LÄN</t>
        </is>
      </c>
      <c r="E11561" t="inlineStr">
        <is>
          <t>VARA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4197-2025</t>
        </is>
      </c>
      <c r="B11562" s="1" t="n">
        <v>45685.45357638889</v>
      </c>
      <c r="C11562" s="1" t="n">
        <v>46011</v>
      </c>
      <c r="D11562" t="inlineStr">
        <is>
          <t>VÄSTRA GÖTALANDS LÄN</t>
        </is>
      </c>
      <c r="E11562" t="inlineStr">
        <is>
          <t>HERRLJUNGA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57557-2024</t>
        </is>
      </c>
      <c r="B11563" s="1" t="n">
        <v>45630.45277777778</v>
      </c>
      <c r="C11563" s="1" t="n">
        <v>46011</v>
      </c>
      <c r="D11563" t="inlineStr">
        <is>
          <t>VÄSTRA GÖTALANDS LÄN</t>
        </is>
      </c>
      <c r="E11563" t="inlineStr">
        <is>
          <t>FÄRGELANDA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11828-2024</t>
        </is>
      </c>
      <c r="B11564" s="1" t="n">
        <v>45376.35157407408</v>
      </c>
      <c r="C11564" s="1" t="n">
        <v>46011</v>
      </c>
      <c r="D11564" t="inlineStr">
        <is>
          <t>VÄSTRA GÖTALANDS LÄN</t>
        </is>
      </c>
      <c r="E11564" t="inlineStr">
        <is>
          <t>SVENLJUNGA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11885-2024</t>
        </is>
      </c>
      <c r="B11565" s="1" t="n">
        <v>45376</v>
      </c>
      <c r="C11565" s="1" t="n">
        <v>46011</v>
      </c>
      <c r="D11565" t="inlineStr">
        <is>
          <t>VÄSTRA GÖTALANDS LÄN</t>
        </is>
      </c>
      <c r="E11565" t="inlineStr">
        <is>
          <t>BENGTSFORS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12487-2022</t>
        </is>
      </c>
      <c r="B11566" s="1" t="n">
        <v>44638.47725694445</v>
      </c>
      <c r="C11566" s="1" t="n">
        <v>46011</v>
      </c>
      <c r="D11566" t="inlineStr">
        <is>
          <t>VÄSTRA GÖTALANDS LÄN</t>
        </is>
      </c>
      <c r="E11566" t="inlineStr">
        <is>
          <t>HERRLJUNGA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28219-2023</t>
        </is>
      </c>
      <c r="B11567" s="1" t="n">
        <v>45099</v>
      </c>
      <c r="C11567" s="1" t="n">
        <v>46011</v>
      </c>
      <c r="D11567" t="inlineStr">
        <is>
          <t>VÄSTRA GÖTALANDS LÄN</t>
        </is>
      </c>
      <c r="E11567" t="inlineStr">
        <is>
          <t>BORÅS</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28224-2023</t>
        </is>
      </c>
      <c r="B11568" s="1" t="n">
        <v>45099</v>
      </c>
      <c r="C11568" s="1" t="n">
        <v>46011</v>
      </c>
      <c r="D11568" t="inlineStr">
        <is>
          <t>VÄSTRA GÖTALANDS LÄN</t>
        </is>
      </c>
      <c r="E11568" t="inlineStr">
        <is>
          <t>TROLLHÄTTAN</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37112-2023</t>
        </is>
      </c>
      <c r="B11569" s="1" t="n">
        <v>45155.55584490741</v>
      </c>
      <c r="C11569" s="1" t="n">
        <v>46011</v>
      </c>
      <c r="D11569" t="inlineStr">
        <is>
          <t>VÄSTRA GÖTALANDS LÄN</t>
        </is>
      </c>
      <c r="E11569" t="inlineStr">
        <is>
          <t>HERRLJUNGA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20430-2025</t>
        </is>
      </c>
      <c r="B11570" s="1" t="n">
        <v>45775.47766203704</v>
      </c>
      <c r="C11570" s="1" t="n">
        <v>46011</v>
      </c>
      <c r="D11570" t="inlineStr">
        <is>
          <t>VÄSTRA GÖTALANDS LÄN</t>
        </is>
      </c>
      <c r="E11570" t="inlineStr">
        <is>
          <t>TIBRO</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16952-2025</t>
        </is>
      </c>
      <c r="B11571" s="1" t="n">
        <v>45755.44237268518</v>
      </c>
      <c r="C11571" s="1" t="n">
        <v>46011</v>
      </c>
      <c r="D11571" t="inlineStr">
        <is>
          <t>VÄSTRA GÖTALANDS LÄN</t>
        </is>
      </c>
      <c r="E11571" t="inlineStr">
        <is>
          <t>DALS-ED</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17536-2025</t>
        </is>
      </c>
      <c r="B11572" s="1" t="n">
        <v>45757</v>
      </c>
      <c r="C11572" s="1" t="n">
        <v>46011</v>
      </c>
      <c r="D11572" t="inlineStr">
        <is>
          <t>VÄSTRA GÖTALANDS LÄN</t>
        </is>
      </c>
      <c r="E11572" t="inlineStr">
        <is>
          <t>VARA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17543-2025</t>
        </is>
      </c>
      <c r="B11573" s="1" t="n">
        <v>45757.60640046297</v>
      </c>
      <c r="C11573" s="1" t="n">
        <v>46011</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54007-2024</t>
        </is>
      </c>
      <c r="B11574" s="1" t="n">
        <v>45615</v>
      </c>
      <c r="C11574" s="1" t="n">
        <v>46011</v>
      </c>
      <c r="D11574" t="inlineStr">
        <is>
          <t>VÄSTRA GÖTALANDS LÄN</t>
        </is>
      </c>
      <c r="E11574" t="inlineStr">
        <is>
          <t>STRÖMSTAD</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55170-2024</t>
        </is>
      </c>
      <c r="B11575" s="1" t="n">
        <v>45621.52608796296</v>
      </c>
      <c r="C11575" s="1" t="n">
        <v>46011</v>
      </c>
      <c r="D11575" t="inlineStr">
        <is>
          <t>VÄSTRA GÖTALANDS LÄN</t>
        </is>
      </c>
      <c r="E11575" t="inlineStr">
        <is>
          <t>HERRLJUNGA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36786-2023</t>
        </is>
      </c>
      <c r="B11576" s="1" t="n">
        <v>45154</v>
      </c>
      <c r="C11576" s="1" t="n">
        <v>46011</v>
      </c>
      <c r="D11576" t="inlineStr">
        <is>
          <t>VÄSTRA GÖTALANDS LÄN</t>
        </is>
      </c>
      <c r="E11576" t="inlineStr">
        <is>
          <t>MARK</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36798-2023</t>
        </is>
      </c>
      <c r="B11577" s="1" t="n">
        <v>45154</v>
      </c>
      <c r="C11577" s="1" t="n">
        <v>46011</v>
      </c>
      <c r="D11577" t="inlineStr">
        <is>
          <t>VÄSTRA GÖTALANDS LÄN</t>
        </is>
      </c>
      <c r="E11577" t="inlineStr">
        <is>
          <t>FALKÖPING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61041-2024</t>
        </is>
      </c>
      <c r="B11578" s="1" t="n">
        <v>45645.47540509259</v>
      </c>
      <c r="C11578" s="1" t="n">
        <v>46011</v>
      </c>
      <c r="D11578" t="inlineStr">
        <is>
          <t>VÄSTRA GÖTALANDS LÄN</t>
        </is>
      </c>
      <c r="E11578" t="inlineStr">
        <is>
          <t>BENGTSFORS</t>
        </is>
      </c>
      <c r="G11578" t="n">
        <v>15.1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44894-2023</t>
        </is>
      </c>
      <c r="B11579" s="1" t="n">
        <v>45190</v>
      </c>
      <c r="C11579" s="1" t="n">
        <v>46011</v>
      </c>
      <c r="D11579" t="inlineStr">
        <is>
          <t>VÄSTRA GÖTALANDS LÄN</t>
        </is>
      </c>
      <c r="E11579" t="inlineStr">
        <is>
          <t>TANUM</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3820-2025</t>
        </is>
      </c>
      <c r="B11580" s="1" t="n">
        <v>45681.71317129629</v>
      </c>
      <c r="C11580" s="1" t="n">
        <v>46011</v>
      </c>
      <c r="D11580" t="inlineStr">
        <is>
          <t>VÄSTRA GÖTALANDS LÄN</t>
        </is>
      </c>
      <c r="E11580" t="inlineStr">
        <is>
          <t>ULRICEHAMN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55972-2023</t>
        </is>
      </c>
      <c r="B11581" s="1" t="n">
        <v>45233</v>
      </c>
      <c r="C11581" s="1" t="n">
        <v>46011</v>
      </c>
      <c r="D11581" t="inlineStr">
        <is>
          <t>VÄSTRA GÖTALANDS LÄN</t>
        </is>
      </c>
      <c r="E11581" t="inlineStr">
        <is>
          <t>VÅRGÅRDA</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9097-2022</t>
        </is>
      </c>
      <c r="B11582" s="1" t="n">
        <v>44615.50123842592</v>
      </c>
      <c r="C11582" s="1" t="n">
        <v>46011</v>
      </c>
      <c r="D11582" t="inlineStr">
        <is>
          <t>VÄSTRA GÖTALANDS LÄN</t>
        </is>
      </c>
      <c r="E11582" t="inlineStr">
        <is>
          <t>BENGTSFORS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9189-2022</t>
        </is>
      </c>
      <c r="B11583" s="1" t="n">
        <v>44615.89261574074</v>
      </c>
      <c r="C11583" s="1" t="n">
        <v>46011</v>
      </c>
      <c r="D11583" t="inlineStr">
        <is>
          <t>VÄSTRA GÖTALANDS LÄN</t>
        </is>
      </c>
      <c r="E11583" t="inlineStr">
        <is>
          <t>VÅRGÅRDA</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7323-2025</t>
        </is>
      </c>
      <c r="B11584" s="1" t="n">
        <v>45702</v>
      </c>
      <c r="C11584" s="1" t="n">
        <v>46011</v>
      </c>
      <c r="D11584" t="inlineStr">
        <is>
          <t>VÄSTRA GÖTALANDS LÄN</t>
        </is>
      </c>
      <c r="E11584" t="inlineStr">
        <is>
          <t>GULLSPÅNG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4489-2025</t>
        </is>
      </c>
      <c r="B11585" s="1" t="n">
        <v>45686.6608912037</v>
      </c>
      <c r="C11585" s="1" t="n">
        <v>46011</v>
      </c>
      <c r="D11585" t="inlineStr">
        <is>
          <t>VÄSTRA GÖTALANDS LÄN</t>
        </is>
      </c>
      <c r="E11585" t="inlineStr">
        <is>
          <t>DALS-ED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9361-2022</t>
        </is>
      </c>
      <c r="B11586" s="1" t="n">
        <v>44616</v>
      </c>
      <c r="C11586" s="1" t="n">
        <v>46011</v>
      </c>
      <c r="D11586" t="inlineStr">
        <is>
          <t>VÄSTRA GÖTALANDS LÄN</t>
        </is>
      </c>
      <c r="E11586" t="inlineStr">
        <is>
          <t>SVENLJUNGA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49205-2023</t>
        </is>
      </c>
      <c r="B11587" s="1" t="n">
        <v>45210.59508101852</v>
      </c>
      <c r="C11587" s="1" t="n">
        <v>46011</v>
      </c>
      <c r="D11587" t="inlineStr">
        <is>
          <t>VÄSTRA GÖTALANDS LÄN</t>
        </is>
      </c>
      <c r="E11587" t="inlineStr">
        <is>
          <t>MARIESTAD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27807-2022</t>
        </is>
      </c>
      <c r="B11588" s="1" t="n">
        <v>44743.57612268518</v>
      </c>
      <c r="C11588" s="1" t="n">
        <v>46011</v>
      </c>
      <c r="D11588" t="inlineStr">
        <is>
          <t>VÄSTRA GÖTALANDS LÄN</t>
        </is>
      </c>
      <c r="E11588" t="inlineStr">
        <is>
          <t>DALS-ED</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20268-2025</t>
        </is>
      </c>
      <c r="B11589" s="1" t="n">
        <v>45773</v>
      </c>
      <c r="C11589" s="1" t="n">
        <v>46011</v>
      </c>
      <c r="D11589" t="inlineStr">
        <is>
          <t>VÄSTRA GÖTALANDS LÄN</t>
        </is>
      </c>
      <c r="E11589" t="inlineStr">
        <is>
          <t>DALS-ED</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60589-2023</t>
        </is>
      </c>
      <c r="B11590" s="1" t="n">
        <v>45260.28659722222</v>
      </c>
      <c r="C11590" s="1" t="n">
        <v>46011</v>
      </c>
      <c r="D11590" t="inlineStr">
        <is>
          <t>VÄSTRA GÖTALANDS LÄN</t>
        </is>
      </c>
      <c r="E11590" t="inlineStr">
        <is>
          <t>VÅRGÅRDA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6832-2025</t>
        </is>
      </c>
      <c r="B11591" s="1" t="n">
        <v>45700.75613425926</v>
      </c>
      <c r="C11591" s="1" t="n">
        <v>46011</v>
      </c>
      <c r="D11591" t="inlineStr">
        <is>
          <t>VÄSTRA GÖTALANDS LÄN</t>
        </is>
      </c>
      <c r="E11591" t="inlineStr">
        <is>
          <t>ULRICEHAMN</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60642-2023</t>
        </is>
      </c>
      <c r="B11592" s="1" t="n">
        <v>45260</v>
      </c>
      <c r="C11592" s="1" t="n">
        <v>46011</v>
      </c>
      <c r="D11592" t="inlineStr">
        <is>
          <t>VÄSTRA GÖTALANDS LÄN</t>
        </is>
      </c>
      <c r="E11592" t="inlineStr">
        <is>
          <t>LIDKÖPING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20888-2022</t>
        </is>
      </c>
      <c r="B11593" s="1" t="n">
        <v>44701</v>
      </c>
      <c r="C11593" s="1" t="n">
        <v>46011</v>
      </c>
      <c r="D11593" t="inlineStr">
        <is>
          <t>VÄSTRA GÖTALANDS LÄN</t>
        </is>
      </c>
      <c r="E11593" t="inlineStr">
        <is>
          <t>STRÖMSTAD</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37050-2023</t>
        </is>
      </c>
      <c r="B11594" s="1" t="n">
        <v>45155.42420138889</v>
      </c>
      <c r="C11594" s="1" t="n">
        <v>46011</v>
      </c>
      <c r="D11594" t="inlineStr">
        <is>
          <t>VÄSTRA GÖTALANDS LÄN</t>
        </is>
      </c>
      <c r="E11594" t="inlineStr">
        <is>
          <t>LYSEKIL</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4301-2025</t>
        </is>
      </c>
      <c r="B11595" s="1" t="n">
        <v>45685</v>
      </c>
      <c r="C11595" s="1" t="n">
        <v>46011</v>
      </c>
      <c r="D11595" t="inlineStr">
        <is>
          <t>VÄSTRA GÖTALANDS LÄN</t>
        </is>
      </c>
      <c r="E11595" t="inlineStr">
        <is>
          <t>FALKÖPING</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23291-2022</t>
        </is>
      </c>
      <c r="B11596" s="1" t="n">
        <v>44720</v>
      </c>
      <c r="C11596" s="1" t="n">
        <v>46011</v>
      </c>
      <c r="D11596" t="inlineStr">
        <is>
          <t>VÄSTRA GÖTALANDS LÄN</t>
        </is>
      </c>
      <c r="E11596" t="inlineStr">
        <is>
          <t>TRANEMO</t>
        </is>
      </c>
      <c r="G11596" t="n">
        <v>7.2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48850-2023</t>
        </is>
      </c>
      <c r="B11597" s="1" t="n">
        <v>45209</v>
      </c>
      <c r="C11597" s="1" t="n">
        <v>46011</v>
      </c>
      <c r="D11597" t="inlineStr">
        <is>
          <t>VÄSTRA GÖTALANDS LÄN</t>
        </is>
      </c>
      <c r="E11597" t="inlineStr">
        <is>
          <t>FÄRGELANDA</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7095-2025</t>
        </is>
      </c>
      <c r="B11598" s="1" t="n">
        <v>45701.7716087963</v>
      </c>
      <c r="C11598" s="1" t="n">
        <v>46011</v>
      </c>
      <c r="D11598" t="inlineStr">
        <is>
          <t>VÄSTRA GÖTALANDS LÄN</t>
        </is>
      </c>
      <c r="E11598" t="inlineStr">
        <is>
          <t>BORÅS</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59988-2024</t>
        </is>
      </c>
      <c r="B11599" s="1" t="n">
        <v>45642.39239583333</v>
      </c>
      <c r="C11599" s="1" t="n">
        <v>46011</v>
      </c>
      <c r="D11599" t="inlineStr">
        <is>
          <t>VÄSTRA GÖTALANDS LÄN</t>
        </is>
      </c>
      <c r="E11599" t="inlineStr">
        <is>
          <t>HJO</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43404-2024</t>
        </is>
      </c>
      <c r="B11600" s="1" t="n">
        <v>45568.61741898148</v>
      </c>
      <c r="C11600" s="1" t="n">
        <v>46011</v>
      </c>
      <c r="D11600" t="inlineStr">
        <is>
          <t>VÄSTRA GÖTALANDS LÄN</t>
        </is>
      </c>
      <c r="E11600" t="inlineStr">
        <is>
          <t>MARK</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44072-2024</t>
        </is>
      </c>
      <c r="B11601" s="1" t="n">
        <v>45572.61049768519</v>
      </c>
      <c r="C11601" s="1" t="n">
        <v>46011</v>
      </c>
      <c r="D11601" t="inlineStr">
        <is>
          <t>VÄSTRA GÖTALANDS LÄN</t>
        </is>
      </c>
      <c r="E11601" t="inlineStr">
        <is>
          <t>TRANEMO</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41689-2023</t>
        </is>
      </c>
      <c r="B11602" s="1" t="n">
        <v>45176</v>
      </c>
      <c r="C11602" s="1" t="n">
        <v>46011</v>
      </c>
      <c r="D11602" t="inlineStr">
        <is>
          <t>VÄSTRA GÖTALANDS LÄN</t>
        </is>
      </c>
      <c r="E11602" t="inlineStr">
        <is>
          <t>KARLSBORG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51661-2023</t>
        </is>
      </c>
      <c r="B11603" s="1" t="n">
        <v>45215</v>
      </c>
      <c r="C11603" s="1" t="n">
        <v>46011</v>
      </c>
      <c r="D11603" t="inlineStr">
        <is>
          <t>VÄSTRA GÖTALANDS LÄN</t>
        </is>
      </c>
      <c r="E11603" t="inlineStr">
        <is>
          <t>STENUNGSUND</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33150-2023</t>
        </is>
      </c>
      <c r="B11604" s="1" t="n">
        <v>45126.68759259259</v>
      </c>
      <c r="C11604" s="1" t="n">
        <v>46011</v>
      </c>
      <c r="D11604" t="inlineStr">
        <is>
          <t>VÄSTRA GÖTALANDS LÄN</t>
        </is>
      </c>
      <c r="E11604" t="inlineStr">
        <is>
          <t>BORÅS</t>
        </is>
      </c>
      <c r="G11604" t="n">
        <v>10.2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42256-2023</t>
        </is>
      </c>
      <c r="B11605" s="1" t="n">
        <v>45180</v>
      </c>
      <c r="C11605" s="1" t="n">
        <v>46011</v>
      </c>
      <c r="D11605" t="inlineStr">
        <is>
          <t>VÄSTRA GÖTALANDS LÄN</t>
        </is>
      </c>
      <c r="E11605" t="inlineStr">
        <is>
          <t>BOLLEBYGD</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33205-2023</t>
        </is>
      </c>
      <c r="B11606" s="1" t="n">
        <v>45127</v>
      </c>
      <c r="C11606" s="1" t="n">
        <v>46011</v>
      </c>
      <c r="D11606" t="inlineStr">
        <is>
          <t>VÄSTRA GÖTALANDS LÄN</t>
        </is>
      </c>
      <c r="E11606" t="inlineStr">
        <is>
          <t>UDDEVALLA</t>
        </is>
      </c>
      <c r="G11606" t="n">
        <v>6.1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41910-2024</t>
        </is>
      </c>
      <c r="B11607" s="1" t="n">
        <v>45561.54084490741</v>
      </c>
      <c r="C11607" s="1" t="n">
        <v>46011</v>
      </c>
      <c r="D11607" t="inlineStr">
        <is>
          <t>VÄSTRA GÖTALANDS LÄN</t>
        </is>
      </c>
      <c r="E11607" t="inlineStr">
        <is>
          <t>BOLLEBYGD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41931-2024</t>
        </is>
      </c>
      <c r="B11608" s="1" t="n">
        <v>45561.56418981482</v>
      </c>
      <c r="C11608" s="1" t="n">
        <v>46011</v>
      </c>
      <c r="D11608" t="inlineStr">
        <is>
          <t>VÄSTRA GÖTALANDS LÄN</t>
        </is>
      </c>
      <c r="E11608" t="inlineStr">
        <is>
          <t>TIBRO</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5871-2022</t>
        </is>
      </c>
      <c r="B11609" s="1" t="n">
        <v>44596</v>
      </c>
      <c r="C11609" s="1" t="n">
        <v>46011</v>
      </c>
      <c r="D11609" t="inlineStr">
        <is>
          <t>VÄSTRA GÖTALANDS LÄN</t>
        </is>
      </c>
      <c r="E11609" t="inlineStr">
        <is>
          <t>TRANEMO</t>
        </is>
      </c>
      <c r="F11609" t="inlineStr">
        <is>
          <t>Sveaskog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5927-2022</t>
        </is>
      </c>
      <c r="B11610" s="1" t="n">
        <v>44598.75418981481</v>
      </c>
      <c r="C11610" s="1" t="n">
        <v>46011</v>
      </c>
      <c r="D11610" t="inlineStr">
        <is>
          <t>VÄSTRA GÖTALANDS LÄN</t>
        </is>
      </c>
      <c r="E11610" t="inlineStr">
        <is>
          <t>TROLLHÄTTAN</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49184-2023</t>
        </is>
      </c>
      <c r="B11611" s="1" t="n">
        <v>45210.57178240741</v>
      </c>
      <c r="C11611" s="1" t="n">
        <v>46011</v>
      </c>
      <c r="D11611" t="inlineStr">
        <is>
          <t>VÄSTRA GÖTALANDS LÄN</t>
        </is>
      </c>
      <c r="E11611" t="inlineStr">
        <is>
          <t>MARIESTAD</t>
        </is>
      </c>
      <c r="G11611" t="n">
        <v>9.1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20593-2025</t>
        </is>
      </c>
      <c r="B11612" s="1" t="n">
        <v>45775.73076388889</v>
      </c>
      <c r="C11612" s="1" t="n">
        <v>46011</v>
      </c>
      <c r="D11612" t="inlineStr">
        <is>
          <t>VÄSTRA GÖTALANDS LÄN</t>
        </is>
      </c>
      <c r="E11612" t="inlineStr">
        <is>
          <t>ULRICEHAMN</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240-2025</t>
        </is>
      </c>
      <c r="B11613" s="1" t="n">
        <v>45660.40756944445</v>
      </c>
      <c r="C11613" s="1" t="n">
        <v>46011</v>
      </c>
      <c r="D11613" t="inlineStr">
        <is>
          <t>VÄSTRA GÖTALANDS LÄN</t>
        </is>
      </c>
      <c r="E11613" t="inlineStr">
        <is>
          <t>LIDKÖPING</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32198-2023</t>
        </is>
      </c>
      <c r="B11614" s="1" t="n">
        <v>45119.91186342593</v>
      </c>
      <c r="C11614" s="1" t="n">
        <v>46011</v>
      </c>
      <c r="D11614" t="inlineStr">
        <is>
          <t>VÄSTRA GÖTALANDS LÄN</t>
        </is>
      </c>
      <c r="E11614" t="inlineStr">
        <is>
          <t>BORÅS</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32234-2023</t>
        </is>
      </c>
      <c r="B11615" s="1" t="n">
        <v>45119</v>
      </c>
      <c r="C11615" s="1" t="n">
        <v>46011</v>
      </c>
      <c r="D11615" t="inlineStr">
        <is>
          <t>VÄSTRA GÖTALANDS LÄN</t>
        </is>
      </c>
      <c r="E11615" t="inlineStr">
        <is>
          <t>BORÅS</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8892-2022</t>
        </is>
      </c>
      <c r="B11616" s="1" t="n">
        <v>44614</v>
      </c>
      <c r="C11616" s="1" t="n">
        <v>46011</v>
      </c>
      <c r="D11616" t="inlineStr">
        <is>
          <t>VÄSTRA GÖTALANDS LÄN</t>
        </is>
      </c>
      <c r="E11616" t="inlineStr">
        <is>
          <t>DALS-ED</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34842-2024</t>
        </is>
      </c>
      <c r="B11617" s="1" t="n">
        <v>45526.92292824074</v>
      </c>
      <c r="C11617" s="1" t="n">
        <v>46011</v>
      </c>
      <c r="D11617" t="inlineStr">
        <is>
          <t>VÄSTRA GÖTALANDS LÄN</t>
        </is>
      </c>
      <c r="E11617" t="inlineStr">
        <is>
          <t>TIDAHOLM</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24869-2023</t>
        </is>
      </c>
      <c r="B11618" s="1" t="n">
        <v>45085</v>
      </c>
      <c r="C11618" s="1" t="n">
        <v>46011</v>
      </c>
      <c r="D11618" t="inlineStr">
        <is>
          <t>VÄSTRA GÖTALANDS LÄN</t>
        </is>
      </c>
      <c r="E11618" t="inlineStr">
        <is>
          <t>FALKÖPING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14617-2022</t>
        </is>
      </c>
      <c r="B11619" s="1" t="n">
        <v>44655</v>
      </c>
      <c r="C11619" s="1" t="n">
        <v>46011</v>
      </c>
      <c r="D11619" t="inlineStr">
        <is>
          <t>VÄSTRA GÖTALANDS LÄN</t>
        </is>
      </c>
      <c r="E11619" t="inlineStr">
        <is>
          <t>BENGTSFORS</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24880-2023</t>
        </is>
      </c>
      <c r="B11620" s="1" t="n">
        <v>45085</v>
      </c>
      <c r="C11620" s="1" t="n">
        <v>46011</v>
      </c>
      <c r="D11620" t="inlineStr">
        <is>
          <t>VÄSTRA GÖTALANDS LÄN</t>
        </is>
      </c>
      <c r="E11620" t="inlineStr">
        <is>
          <t>TANUM</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9881-2024</t>
        </is>
      </c>
      <c r="B11621" s="1" t="n">
        <v>45363.45472222222</v>
      </c>
      <c r="C11621" s="1" t="n">
        <v>46011</v>
      </c>
      <c r="D11621" t="inlineStr">
        <is>
          <t>VÄSTRA GÖTALANDS LÄN</t>
        </is>
      </c>
      <c r="E11621" t="inlineStr">
        <is>
          <t>ULRICEHAMN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10428-2022</t>
        </is>
      </c>
      <c r="B11622" s="1" t="n">
        <v>44623</v>
      </c>
      <c r="C11622" s="1" t="n">
        <v>46011</v>
      </c>
      <c r="D11622" t="inlineStr">
        <is>
          <t>VÄSTRA GÖTALANDS LÄN</t>
        </is>
      </c>
      <c r="E11622" t="inlineStr">
        <is>
          <t>MELLERUD</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33587-2021</t>
        </is>
      </c>
      <c r="B11623" s="1" t="n">
        <v>44378</v>
      </c>
      <c r="C11623" s="1" t="n">
        <v>46011</v>
      </c>
      <c r="D11623" t="inlineStr">
        <is>
          <t>VÄSTRA GÖTALANDS LÄN</t>
        </is>
      </c>
      <c r="E11623" t="inlineStr">
        <is>
          <t>TROLLHÄTTAN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53846-2024</t>
        </is>
      </c>
      <c r="B11624" s="1" t="n">
        <v>45615.6309837963</v>
      </c>
      <c r="C11624" s="1" t="n">
        <v>46011</v>
      </c>
      <c r="D11624" t="inlineStr">
        <is>
          <t>VÄSTRA GÖTALANDS LÄN</t>
        </is>
      </c>
      <c r="E11624" t="inlineStr">
        <is>
          <t>HJO</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32745-2024</t>
        </is>
      </c>
      <c r="B11625" s="1" t="n">
        <v>45516</v>
      </c>
      <c r="C11625" s="1" t="n">
        <v>46011</v>
      </c>
      <c r="D11625" t="inlineStr">
        <is>
          <t>VÄSTRA GÖTALANDS LÄN</t>
        </is>
      </c>
      <c r="E11625" t="inlineStr">
        <is>
          <t>ÅMÅL</t>
        </is>
      </c>
      <c r="F11625" t="inlineStr">
        <is>
          <t>Kyrkan</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59169-2024</t>
        </is>
      </c>
      <c r="B11626" s="1" t="n">
        <v>45637.49137731481</v>
      </c>
      <c r="C11626" s="1" t="n">
        <v>46011</v>
      </c>
      <c r="D11626" t="inlineStr">
        <is>
          <t>VÄSTRA GÖTALANDS LÄN</t>
        </is>
      </c>
      <c r="E11626" t="inlineStr">
        <is>
          <t>BENGTSFORS</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43271-2023</t>
        </is>
      </c>
      <c r="B11627" s="1" t="n">
        <v>45183</v>
      </c>
      <c r="C11627" s="1" t="n">
        <v>46011</v>
      </c>
      <c r="D11627" t="inlineStr">
        <is>
          <t>VÄSTRA GÖTALANDS LÄN</t>
        </is>
      </c>
      <c r="E11627" t="inlineStr">
        <is>
          <t>UDDEVALLA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43293-2023</t>
        </is>
      </c>
      <c r="B11628" s="1" t="n">
        <v>45183</v>
      </c>
      <c r="C11628" s="1" t="n">
        <v>46011</v>
      </c>
      <c r="D11628" t="inlineStr">
        <is>
          <t>VÄSTRA GÖTALANDS LÄN</t>
        </is>
      </c>
      <c r="E11628" t="inlineStr">
        <is>
          <t>MARK</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44133-2024</t>
        </is>
      </c>
      <c r="B11629" s="1" t="n">
        <v>45572.65665509259</v>
      </c>
      <c r="C11629" s="1" t="n">
        <v>46011</v>
      </c>
      <c r="D11629" t="inlineStr">
        <is>
          <t>VÄSTRA GÖTALANDS LÄN</t>
        </is>
      </c>
      <c r="E11629" t="inlineStr">
        <is>
          <t>UDDEVALLA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18529-2025</t>
        </is>
      </c>
      <c r="B11630" s="1" t="n">
        <v>45763.40197916667</v>
      </c>
      <c r="C11630" s="1" t="n">
        <v>46011</v>
      </c>
      <c r="D11630" t="inlineStr">
        <is>
          <t>VÄSTRA GÖTALANDS LÄN</t>
        </is>
      </c>
      <c r="E11630" t="inlineStr">
        <is>
          <t>DALS-ED</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50307-2023</t>
        </is>
      </c>
      <c r="B11631" s="1" t="n">
        <v>45209</v>
      </c>
      <c r="C11631" s="1" t="n">
        <v>46011</v>
      </c>
      <c r="D11631" t="inlineStr">
        <is>
          <t>VÄSTRA GÖTALANDS LÄN</t>
        </is>
      </c>
      <c r="E11631" t="inlineStr">
        <is>
          <t>VÅRGÅRDA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12026-2022</t>
        </is>
      </c>
      <c r="B11632" s="1" t="n">
        <v>44636</v>
      </c>
      <c r="C11632" s="1" t="n">
        <v>46011</v>
      </c>
      <c r="D11632" t="inlineStr">
        <is>
          <t>VÄSTRA GÖTALANDS LÄN</t>
        </is>
      </c>
      <c r="E11632" t="inlineStr">
        <is>
          <t>TIDAHOLM</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4308-2025</t>
        </is>
      </c>
      <c r="B11633" s="1" t="n">
        <v>45685.68934027778</v>
      </c>
      <c r="C11633" s="1" t="n">
        <v>46011</v>
      </c>
      <c r="D11633" t="inlineStr">
        <is>
          <t>VÄSTRA GÖTALANDS LÄN</t>
        </is>
      </c>
      <c r="E11633" t="inlineStr">
        <is>
          <t>BORÅS</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17795-2025</t>
        </is>
      </c>
      <c r="B11634" s="1" t="n">
        <v>45758.54459490741</v>
      </c>
      <c r="C11634" s="1" t="n">
        <v>46011</v>
      </c>
      <c r="D11634" t="inlineStr">
        <is>
          <t>VÄSTRA GÖTALANDS LÄN</t>
        </is>
      </c>
      <c r="E11634" t="inlineStr">
        <is>
          <t>MARK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17806-2025</t>
        </is>
      </c>
      <c r="B11635" s="1" t="n">
        <v>45758.55542824074</v>
      </c>
      <c r="C11635" s="1" t="n">
        <v>46011</v>
      </c>
      <c r="D11635" t="inlineStr">
        <is>
          <t>VÄSTRA GÖTALANDS LÄN</t>
        </is>
      </c>
      <c r="E11635" t="inlineStr">
        <is>
          <t>MARK</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17824-2025</t>
        </is>
      </c>
      <c r="B11636" s="1" t="n">
        <v>45758.57325231482</v>
      </c>
      <c r="C11636" s="1" t="n">
        <v>46011</v>
      </c>
      <c r="D11636" t="inlineStr">
        <is>
          <t>VÄSTRA GÖTALANDS LÄN</t>
        </is>
      </c>
      <c r="E11636" t="inlineStr">
        <is>
          <t>UDDEVALLA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17826-2025</t>
        </is>
      </c>
      <c r="B11637" s="1" t="n">
        <v>45758.57554398148</v>
      </c>
      <c r="C11637" s="1" t="n">
        <v>46011</v>
      </c>
      <c r="D11637" t="inlineStr">
        <is>
          <t>VÄSTRA GÖTALANDS LÄN</t>
        </is>
      </c>
      <c r="E11637" t="inlineStr">
        <is>
          <t>TIDAHOLM</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17830-2025</t>
        </is>
      </c>
      <c r="B11638" s="1" t="n">
        <v>45758.58219907407</v>
      </c>
      <c r="C11638" s="1" t="n">
        <v>46011</v>
      </c>
      <c r="D11638" t="inlineStr">
        <is>
          <t>VÄSTRA GÖTALANDS LÄN</t>
        </is>
      </c>
      <c r="E11638" t="inlineStr">
        <is>
          <t>MARK</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24681-2024</t>
        </is>
      </c>
      <c r="B11639" s="1" t="n">
        <v>45460.59233796296</v>
      </c>
      <c r="C11639" s="1" t="n">
        <v>46011</v>
      </c>
      <c r="D11639" t="inlineStr">
        <is>
          <t>VÄSTRA GÖTALANDS LÄN</t>
        </is>
      </c>
      <c r="E11639" t="inlineStr">
        <is>
          <t>BENGTSFORS</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24482-2024</t>
        </is>
      </c>
      <c r="B11640" s="1" t="n">
        <v>45459.38876157408</v>
      </c>
      <c r="C11640" s="1" t="n">
        <v>46011</v>
      </c>
      <c r="D11640" t="inlineStr">
        <is>
          <t>VÄSTRA GÖTALANDS LÄN</t>
        </is>
      </c>
      <c r="E11640" t="inlineStr">
        <is>
          <t>DALS-ED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43987-2022</t>
        </is>
      </c>
      <c r="B11641" s="1" t="n">
        <v>44838.66666666666</v>
      </c>
      <c r="C11641" s="1" t="n">
        <v>46011</v>
      </c>
      <c r="D11641" t="inlineStr">
        <is>
          <t>VÄSTRA GÖTALANDS LÄN</t>
        </is>
      </c>
      <c r="E11641" t="inlineStr">
        <is>
          <t>VÄNERSBORG</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44001-2022</t>
        </is>
      </c>
      <c r="B11642" s="1" t="n">
        <v>44838</v>
      </c>
      <c r="C11642" s="1" t="n">
        <v>46011</v>
      </c>
      <c r="D11642" t="inlineStr">
        <is>
          <t>VÄSTRA GÖTALANDS LÄN</t>
        </is>
      </c>
      <c r="E11642" t="inlineStr">
        <is>
          <t>MARK</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9236-2024</t>
        </is>
      </c>
      <c r="B11643" s="1" t="n">
        <v>45358</v>
      </c>
      <c r="C11643" s="1" t="n">
        <v>46011</v>
      </c>
      <c r="D11643" t="inlineStr">
        <is>
          <t>VÄSTRA GÖTALANDS LÄN</t>
        </is>
      </c>
      <c r="E11643" t="inlineStr">
        <is>
          <t>TIDAHOLM</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5581-2025</t>
        </is>
      </c>
      <c r="B11644" s="1" t="n">
        <v>45693.55208333334</v>
      </c>
      <c r="C11644" s="1" t="n">
        <v>46011</v>
      </c>
      <c r="D11644" t="inlineStr">
        <is>
          <t>VÄSTRA GÖTALANDS LÄN</t>
        </is>
      </c>
      <c r="E11644" t="inlineStr">
        <is>
          <t>BENGTSFORS</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21240-2024</t>
        </is>
      </c>
      <c r="B11645" s="1" t="n">
        <v>45440</v>
      </c>
      <c r="C11645" s="1" t="n">
        <v>46011</v>
      </c>
      <c r="D11645" t="inlineStr">
        <is>
          <t>VÄSTRA GÖTALANDS LÄN</t>
        </is>
      </c>
      <c r="E11645" t="inlineStr">
        <is>
          <t>TANUM</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14929-2024</t>
        </is>
      </c>
      <c r="B11646" s="1" t="n">
        <v>45398.64460648148</v>
      </c>
      <c r="C11646" s="1" t="n">
        <v>46011</v>
      </c>
      <c r="D11646" t="inlineStr">
        <is>
          <t>VÄSTRA GÖTALANDS LÄN</t>
        </is>
      </c>
      <c r="E11646" t="inlineStr">
        <is>
          <t>LILLA EDET</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55511-2023</t>
        </is>
      </c>
      <c r="B11647" s="1" t="n">
        <v>45238.57581018518</v>
      </c>
      <c r="C11647" s="1" t="n">
        <v>46011</v>
      </c>
      <c r="D11647" t="inlineStr">
        <is>
          <t>VÄSTRA GÖTALANDS LÄN</t>
        </is>
      </c>
      <c r="E11647" t="inlineStr">
        <is>
          <t>GÖTENE</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55285-2023</t>
        </is>
      </c>
      <c r="B11648" s="1" t="n">
        <v>45237.74319444445</v>
      </c>
      <c r="C11648" s="1" t="n">
        <v>46011</v>
      </c>
      <c r="D11648" t="inlineStr">
        <is>
          <t>VÄSTRA GÖTALANDS LÄN</t>
        </is>
      </c>
      <c r="E11648" t="inlineStr">
        <is>
          <t>TÖREBODA</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244-2025</t>
        </is>
      </c>
      <c r="B11649" s="1" t="n">
        <v>45660.41302083333</v>
      </c>
      <c r="C11649" s="1" t="n">
        <v>46011</v>
      </c>
      <c r="D11649" t="inlineStr">
        <is>
          <t>VÄSTRA GÖTALANDS LÄN</t>
        </is>
      </c>
      <c r="E11649" t="inlineStr">
        <is>
          <t>BORÅS</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23984-2024</t>
        </is>
      </c>
      <c r="B11650" s="1" t="n">
        <v>45456.34149305556</v>
      </c>
      <c r="C11650" s="1" t="n">
        <v>46011</v>
      </c>
      <c r="D11650" t="inlineStr">
        <is>
          <t>VÄSTRA GÖTALANDS LÄN</t>
        </is>
      </c>
      <c r="E11650" t="inlineStr">
        <is>
          <t>TROLLHÄTTAN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24000-2024</t>
        </is>
      </c>
      <c r="B11651" s="1" t="n">
        <v>45456.38</v>
      </c>
      <c r="C11651" s="1" t="n">
        <v>46011</v>
      </c>
      <c r="D11651" t="inlineStr">
        <is>
          <t>VÄSTRA GÖTALANDS LÄN</t>
        </is>
      </c>
      <c r="E11651" t="inlineStr">
        <is>
          <t>ALINGSÅS</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4009-2025</t>
        </is>
      </c>
      <c r="B11652" s="1" t="n">
        <v>45684.57601851852</v>
      </c>
      <c r="C11652" s="1" t="n">
        <v>46011</v>
      </c>
      <c r="D11652" t="inlineStr">
        <is>
          <t>VÄSTRA GÖTALANDS LÄN</t>
        </is>
      </c>
      <c r="E11652" t="inlineStr">
        <is>
          <t>MELLERUD</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24129-2024</t>
        </is>
      </c>
      <c r="B11653" s="1" t="n">
        <v>45456.63239583333</v>
      </c>
      <c r="C11653" s="1" t="n">
        <v>46011</v>
      </c>
      <c r="D11653" t="inlineStr">
        <is>
          <t>VÄSTRA GÖTALANDS LÄN</t>
        </is>
      </c>
      <c r="E11653" t="inlineStr">
        <is>
          <t>TROLLHÄTTAN</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54476-2022</t>
        </is>
      </c>
      <c r="B11654" s="1" t="n">
        <v>44876</v>
      </c>
      <c r="C11654" s="1" t="n">
        <v>46011</v>
      </c>
      <c r="D11654" t="inlineStr">
        <is>
          <t>VÄSTRA GÖTALANDS LÄN</t>
        </is>
      </c>
      <c r="E11654" t="inlineStr">
        <is>
          <t>BENGTSFORS</t>
        </is>
      </c>
      <c r="F11654" t="inlineStr">
        <is>
          <t>Bergvik skog väst AB</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21618-2024</t>
        </is>
      </c>
      <c r="B11655" s="1" t="n">
        <v>45442</v>
      </c>
      <c r="C11655" s="1" t="n">
        <v>46011</v>
      </c>
      <c r="D11655" t="inlineStr">
        <is>
          <t>VÄSTRA GÖTALANDS LÄN</t>
        </is>
      </c>
      <c r="E11655" t="inlineStr">
        <is>
          <t>MELLERUD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21620-2024</t>
        </is>
      </c>
      <c r="B11656" s="1" t="n">
        <v>45442</v>
      </c>
      <c r="C11656" s="1" t="n">
        <v>46011</v>
      </c>
      <c r="D11656" t="inlineStr">
        <is>
          <t>VÄSTRA GÖTALANDS LÄN</t>
        </is>
      </c>
      <c r="E11656" t="inlineStr">
        <is>
          <t>MELLERUD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47424-2021</t>
        </is>
      </c>
      <c r="B11657" s="1" t="n">
        <v>44447</v>
      </c>
      <c r="C11657" s="1" t="n">
        <v>46011</v>
      </c>
      <c r="D11657" t="inlineStr">
        <is>
          <t>VÄSTRA GÖTALANDS LÄN</t>
        </is>
      </c>
      <c r="E11657" t="inlineStr">
        <is>
          <t>TRANEMO</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21630-2024</t>
        </is>
      </c>
      <c r="B11658" s="1" t="n">
        <v>45442.32711805555</v>
      </c>
      <c r="C11658" s="1" t="n">
        <v>46011</v>
      </c>
      <c r="D11658" t="inlineStr">
        <is>
          <t>VÄSTRA GÖTALANDS LÄN</t>
        </is>
      </c>
      <c r="E11658" t="inlineStr">
        <is>
          <t>LILLA EDET</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60353-2023</t>
        </is>
      </c>
      <c r="B11659" s="1" t="n">
        <v>45257</v>
      </c>
      <c r="C11659" s="1" t="n">
        <v>46011</v>
      </c>
      <c r="D11659" t="inlineStr">
        <is>
          <t>VÄSTRA GÖTALANDS LÄN</t>
        </is>
      </c>
      <c r="E11659" t="inlineStr">
        <is>
          <t>TIDAHOLM</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32742-2024</t>
        </is>
      </c>
      <c r="B11660" s="1" t="n">
        <v>45516.44384259259</v>
      </c>
      <c r="C11660" s="1" t="n">
        <v>46011</v>
      </c>
      <c r="D11660" t="inlineStr">
        <is>
          <t>VÄSTRA GÖTALANDS LÄN</t>
        </is>
      </c>
      <c r="E11660" t="inlineStr">
        <is>
          <t>BORÅS</t>
        </is>
      </c>
      <c r="G11660" t="n">
        <v>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6255-2025</t>
        </is>
      </c>
      <c r="B11661" s="1" t="n">
        <v>45698.59017361111</v>
      </c>
      <c r="C11661" s="1" t="n">
        <v>46011</v>
      </c>
      <c r="D11661" t="inlineStr">
        <is>
          <t>VÄSTRA GÖTALANDS LÄN</t>
        </is>
      </c>
      <c r="E11661" t="inlineStr">
        <is>
          <t>BENGTSFORS</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4771-2025</t>
        </is>
      </c>
      <c r="B11662" s="1" t="n">
        <v>45688.49644675926</v>
      </c>
      <c r="C11662" s="1" t="n">
        <v>46011</v>
      </c>
      <c r="D11662" t="inlineStr">
        <is>
          <t>VÄSTRA GÖTALANDS LÄN</t>
        </is>
      </c>
      <c r="E11662" t="inlineStr">
        <is>
          <t>UDDEVALLA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3936-2025</t>
        </is>
      </c>
      <c r="B11663" s="1" t="n">
        <v>45684.46290509259</v>
      </c>
      <c r="C11663" s="1" t="n">
        <v>46011</v>
      </c>
      <c r="D11663" t="inlineStr">
        <is>
          <t>VÄSTRA GÖTALANDS LÄN</t>
        </is>
      </c>
      <c r="E11663" t="inlineStr">
        <is>
          <t>TRANEMO</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33388-2022</t>
        </is>
      </c>
      <c r="B11664" s="1" t="n">
        <v>44788</v>
      </c>
      <c r="C11664" s="1" t="n">
        <v>46011</v>
      </c>
      <c r="D11664" t="inlineStr">
        <is>
          <t>VÄSTRA GÖTALANDS LÄN</t>
        </is>
      </c>
      <c r="E11664" t="inlineStr">
        <is>
          <t>MELLERUD</t>
        </is>
      </c>
      <c r="G11664" t="n">
        <v>8.699999999999999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6659-2025</t>
        </is>
      </c>
      <c r="B11665" s="1" t="n">
        <v>45700</v>
      </c>
      <c r="C11665" s="1" t="n">
        <v>46011</v>
      </c>
      <c r="D11665" t="inlineStr">
        <is>
          <t>VÄSTRA GÖTALANDS LÄN</t>
        </is>
      </c>
      <c r="E11665" t="inlineStr">
        <is>
          <t>BORÅS</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62979-2023</t>
        </is>
      </c>
      <c r="B11666" s="1" t="n">
        <v>45271</v>
      </c>
      <c r="C11666" s="1" t="n">
        <v>46011</v>
      </c>
      <c r="D11666" t="inlineStr">
        <is>
          <t>VÄSTRA GÖTALANDS LÄN</t>
        </is>
      </c>
      <c r="E11666" t="inlineStr">
        <is>
          <t>KUNGÄLV</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62986-2023</t>
        </is>
      </c>
      <c r="B11667" s="1" t="n">
        <v>45272</v>
      </c>
      <c r="C11667" s="1" t="n">
        <v>46011</v>
      </c>
      <c r="D11667" t="inlineStr">
        <is>
          <t>VÄSTRA GÖTALANDS LÄN</t>
        </is>
      </c>
      <c r="E11667" t="inlineStr">
        <is>
          <t>BOLLEBYGD</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37419-2023</t>
        </is>
      </c>
      <c r="B11668" s="1" t="n">
        <v>45155</v>
      </c>
      <c r="C11668" s="1" t="n">
        <v>46011</v>
      </c>
      <c r="D11668" t="inlineStr">
        <is>
          <t>VÄSTRA GÖTALANDS LÄN</t>
        </is>
      </c>
      <c r="E11668" t="inlineStr">
        <is>
          <t>MUNKEDAL</t>
        </is>
      </c>
      <c r="F11668" t="inlineStr">
        <is>
          <t>Övriga Aktiebolag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6729-2025</t>
        </is>
      </c>
      <c r="B11669" s="1" t="n">
        <v>45700.59056712963</v>
      </c>
      <c r="C11669" s="1" t="n">
        <v>46011</v>
      </c>
      <c r="D11669" t="inlineStr">
        <is>
          <t>VÄSTRA GÖTALANDS LÄN</t>
        </is>
      </c>
      <c r="E11669" t="inlineStr">
        <is>
          <t>FALKÖPING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18957-2025</t>
        </is>
      </c>
      <c r="B11670" s="1" t="n">
        <v>45764.5202662037</v>
      </c>
      <c r="C11670" s="1" t="n">
        <v>46011</v>
      </c>
      <c r="D11670" t="inlineStr">
        <is>
          <t>VÄSTRA GÖTALANDS LÄN</t>
        </is>
      </c>
      <c r="E11670" t="inlineStr">
        <is>
          <t>TIDAHOLM</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18962-2025</t>
        </is>
      </c>
      <c r="B11671" s="1" t="n">
        <v>45764.52909722222</v>
      </c>
      <c r="C11671" s="1" t="n">
        <v>46011</v>
      </c>
      <c r="D11671" t="inlineStr">
        <is>
          <t>VÄSTRA GÖTALANDS LÄN</t>
        </is>
      </c>
      <c r="E11671" t="inlineStr">
        <is>
          <t>MARIESTAD</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8124-2021</t>
        </is>
      </c>
      <c r="B11672" s="1" t="n">
        <v>44243</v>
      </c>
      <c r="C11672" s="1" t="n">
        <v>46011</v>
      </c>
      <c r="D11672" t="inlineStr">
        <is>
          <t>VÄSTRA GÖTALANDS LÄN</t>
        </is>
      </c>
      <c r="E11672" t="inlineStr">
        <is>
          <t>GÖTENE</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54904-2023</t>
        </is>
      </c>
      <c r="B11673" s="1" t="n">
        <v>45236</v>
      </c>
      <c r="C11673" s="1" t="n">
        <v>46011</v>
      </c>
      <c r="D11673" t="inlineStr">
        <is>
          <t>VÄSTRA GÖTALANDS LÄN</t>
        </is>
      </c>
      <c r="E11673" t="inlineStr">
        <is>
          <t>ULRICEHAMN</t>
        </is>
      </c>
      <c r="G11673" t="n">
        <v>0.2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54912-2023</t>
        </is>
      </c>
      <c r="B11674" s="1" t="n">
        <v>45236</v>
      </c>
      <c r="C11674" s="1" t="n">
        <v>46011</v>
      </c>
      <c r="D11674" t="inlineStr">
        <is>
          <t>VÄSTRA GÖTALANDS LÄN</t>
        </is>
      </c>
      <c r="E11674" t="inlineStr">
        <is>
          <t>ULRICEHAMN</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46747-2023</t>
        </is>
      </c>
      <c r="B11675" s="1" t="n">
        <v>45198</v>
      </c>
      <c r="C11675" s="1" t="n">
        <v>46011</v>
      </c>
      <c r="D11675" t="inlineStr">
        <is>
          <t>VÄSTRA GÖTALANDS LÄN</t>
        </is>
      </c>
      <c r="E11675" t="inlineStr">
        <is>
          <t>VÅRGÅRDA</t>
        </is>
      </c>
      <c r="F11675" t="inlineStr">
        <is>
          <t>Kyrkan</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46761-2023</t>
        </is>
      </c>
      <c r="B11676" s="1" t="n">
        <v>45198</v>
      </c>
      <c r="C11676" s="1" t="n">
        <v>46011</v>
      </c>
      <c r="D11676" t="inlineStr">
        <is>
          <t>VÄSTRA GÖTALANDS LÄN</t>
        </is>
      </c>
      <c r="E11676" t="inlineStr">
        <is>
          <t>MELLERUD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46764-2023</t>
        </is>
      </c>
      <c r="B11677" s="1" t="n">
        <v>45195</v>
      </c>
      <c r="C11677" s="1" t="n">
        <v>46011</v>
      </c>
      <c r="D11677" t="inlineStr">
        <is>
          <t>VÄSTRA GÖTALANDS LÄN</t>
        </is>
      </c>
      <c r="E11677" t="inlineStr">
        <is>
          <t>BENGTSFORS</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28703-2022</t>
        </is>
      </c>
      <c r="B11678" s="1" t="n">
        <v>44748.82637731481</v>
      </c>
      <c r="C11678" s="1" t="n">
        <v>46011</v>
      </c>
      <c r="D11678" t="inlineStr">
        <is>
          <t>VÄSTRA GÖTALANDS LÄN</t>
        </is>
      </c>
      <c r="E11678" t="inlineStr">
        <is>
          <t>ÅMÅL</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18685-2025</t>
        </is>
      </c>
      <c r="B11679" s="1" t="n">
        <v>45763.61067129629</v>
      </c>
      <c r="C11679" s="1" t="n">
        <v>46011</v>
      </c>
      <c r="D11679" t="inlineStr">
        <is>
          <t>VÄSTRA GÖTALANDS LÄN</t>
        </is>
      </c>
      <c r="E11679" t="inlineStr">
        <is>
          <t>GULLSPÅNG</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18687-2025</t>
        </is>
      </c>
      <c r="B11680" s="1" t="n">
        <v>45763.6129050926</v>
      </c>
      <c r="C11680" s="1" t="n">
        <v>46011</v>
      </c>
      <c r="D11680" t="inlineStr">
        <is>
          <t>VÄSTRA GÖTALANDS LÄN</t>
        </is>
      </c>
      <c r="E11680" t="inlineStr">
        <is>
          <t>TÖREBODA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18722-2025</t>
        </is>
      </c>
      <c r="B11681" s="1" t="n">
        <v>45763.66126157407</v>
      </c>
      <c r="C11681" s="1" t="n">
        <v>46011</v>
      </c>
      <c r="D11681" t="inlineStr">
        <is>
          <t>VÄSTRA GÖTALANDS LÄN</t>
        </is>
      </c>
      <c r="E11681" t="inlineStr">
        <is>
          <t>GULLSPÅNG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57959-2022</t>
        </is>
      </c>
      <c r="B11682" s="1" t="n">
        <v>44900.43155092592</v>
      </c>
      <c r="C11682" s="1" t="n">
        <v>46011</v>
      </c>
      <c r="D11682" t="inlineStr">
        <is>
          <t>VÄSTRA GÖTALANDS LÄN</t>
        </is>
      </c>
      <c r="E11682" t="inlineStr">
        <is>
          <t>HERRLJUNGA</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57974-2022</t>
        </is>
      </c>
      <c r="B11683" s="1" t="n">
        <v>44900.45856481481</v>
      </c>
      <c r="C11683" s="1" t="n">
        <v>46011</v>
      </c>
      <c r="D11683" t="inlineStr">
        <is>
          <t>VÄSTRA GÖTALANDS LÄN</t>
        </is>
      </c>
      <c r="E11683" t="inlineStr">
        <is>
          <t>TÖREBODA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18730-2025</t>
        </is>
      </c>
      <c r="B11684" s="1" t="n">
        <v>45763.67412037037</v>
      </c>
      <c r="C11684" s="1" t="n">
        <v>46011</v>
      </c>
      <c r="D11684" t="inlineStr">
        <is>
          <t>VÄSTRA GÖTALANDS LÄN</t>
        </is>
      </c>
      <c r="E11684" t="inlineStr">
        <is>
          <t>HERRLJUNGA</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58077-2022</t>
        </is>
      </c>
      <c r="B11685" s="1" t="n">
        <v>44900</v>
      </c>
      <c r="C11685" s="1" t="n">
        <v>46011</v>
      </c>
      <c r="D11685" t="inlineStr">
        <is>
          <t>VÄSTRA GÖTALANDS LÄN</t>
        </is>
      </c>
      <c r="E11685" t="inlineStr">
        <is>
          <t>MARIESTAD</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34163-2023</t>
        </is>
      </c>
      <c r="B11686" s="1" t="n">
        <v>45137</v>
      </c>
      <c r="C11686" s="1" t="n">
        <v>46011</v>
      </c>
      <c r="D11686" t="inlineStr">
        <is>
          <t>VÄSTRA GÖTALANDS LÄN</t>
        </is>
      </c>
      <c r="E11686" t="inlineStr">
        <is>
          <t>MARK</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14396-2025</t>
        </is>
      </c>
      <c r="B11687" s="1" t="n">
        <v>45741.44355324074</v>
      </c>
      <c r="C11687" s="1" t="n">
        <v>46011</v>
      </c>
      <c r="D11687" t="inlineStr">
        <is>
          <t>VÄSTRA GÖTALANDS LÄN</t>
        </is>
      </c>
      <c r="E11687" t="inlineStr">
        <is>
          <t>BORÅS</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46736-2023</t>
        </is>
      </c>
      <c r="B11688" s="1" t="n">
        <v>45198</v>
      </c>
      <c r="C11688" s="1" t="n">
        <v>46011</v>
      </c>
      <c r="D11688" t="inlineStr">
        <is>
          <t>VÄSTRA GÖTALANDS LÄN</t>
        </is>
      </c>
      <c r="E11688" t="inlineStr">
        <is>
          <t>VÅRGÅRDA</t>
        </is>
      </c>
      <c r="F11688" t="inlineStr">
        <is>
          <t>Kyrkan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46740-2023</t>
        </is>
      </c>
      <c r="B11689" s="1" t="n">
        <v>45198</v>
      </c>
      <c r="C11689" s="1" t="n">
        <v>46011</v>
      </c>
      <c r="D11689" t="inlineStr">
        <is>
          <t>VÄSTRA GÖTALANDS LÄN</t>
        </is>
      </c>
      <c r="E11689" t="inlineStr">
        <is>
          <t>BENGTSFORS</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57824-2024</t>
        </is>
      </c>
      <c r="B11690" s="1" t="n">
        <v>45631.38447916666</v>
      </c>
      <c r="C11690" s="1" t="n">
        <v>46011</v>
      </c>
      <c r="D11690" t="inlineStr">
        <is>
          <t>VÄSTRA GÖTALANDS LÄN</t>
        </is>
      </c>
      <c r="E11690" t="inlineStr">
        <is>
          <t>UDDEVALLA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3622-2025</t>
        </is>
      </c>
      <c r="B11691" s="1" t="n">
        <v>45681.37034722222</v>
      </c>
      <c r="C11691" s="1" t="n">
        <v>46011</v>
      </c>
      <c r="D11691" t="inlineStr">
        <is>
          <t>VÄSTRA GÖTALANDS LÄN</t>
        </is>
      </c>
      <c r="E11691" t="inlineStr">
        <is>
          <t>TANUM</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16936-2022</t>
        </is>
      </c>
      <c r="B11692" s="1" t="n">
        <v>44676.46715277778</v>
      </c>
      <c r="C11692" s="1" t="n">
        <v>46011</v>
      </c>
      <c r="D11692" t="inlineStr">
        <is>
          <t>VÄSTRA GÖTALANDS LÄN</t>
        </is>
      </c>
      <c r="E11692" t="inlineStr">
        <is>
          <t>BENGTSFORS</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19295-2025</t>
        </is>
      </c>
      <c r="B11693" s="1" t="n">
        <v>45769.56212962963</v>
      </c>
      <c r="C11693" s="1" t="n">
        <v>46011</v>
      </c>
      <c r="D11693" t="inlineStr">
        <is>
          <t>VÄSTRA GÖTALANDS LÄN</t>
        </is>
      </c>
      <c r="E11693" t="inlineStr">
        <is>
          <t>MÖLNDAL</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19296-2025</t>
        </is>
      </c>
      <c r="B11694" s="1" t="n">
        <v>45769.5621875</v>
      </c>
      <c r="C11694" s="1" t="n">
        <v>46011</v>
      </c>
      <c r="D11694" t="inlineStr">
        <is>
          <t>VÄSTRA GÖTALANDS LÄN</t>
        </is>
      </c>
      <c r="E11694" t="inlineStr">
        <is>
          <t>STENUNGSUND</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17985-2022</t>
        </is>
      </c>
      <c r="B11695" s="1" t="n">
        <v>44683</v>
      </c>
      <c r="C11695" s="1" t="n">
        <v>46011</v>
      </c>
      <c r="D11695" t="inlineStr">
        <is>
          <t>VÄSTRA GÖTALANDS LÄN</t>
        </is>
      </c>
      <c r="E11695" t="inlineStr">
        <is>
          <t>VÄNERSBORG</t>
        </is>
      </c>
      <c r="G11695" t="n">
        <v>10</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56545-2023</t>
        </is>
      </c>
      <c r="B11696" s="1" t="n">
        <v>45243.58105324074</v>
      </c>
      <c r="C11696" s="1" t="n">
        <v>46011</v>
      </c>
      <c r="D11696" t="inlineStr">
        <is>
          <t>VÄSTRA GÖTALANDS LÄN</t>
        </is>
      </c>
      <c r="E11696" t="inlineStr">
        <is>
          <t>KARLSBORG</t>
        </is>
      </c>
      <c r="F11696" t="inlineStr">
        <is>
          <t>Sveaskog</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56607-2023</t>
        </is>
      </c>
      <c r="B11697" s="1" t="n">
        <v>45238</v>
      </c>
      <c r="C11697" s="1" t="n">
        <v>46011</v>
      </c>
      <c r="D11697" t="inlineStr">
        <is>
          <t>VÄSTRA GÖTALANDS LÄN</t>
        </is>
      </c>
      <c r="E11697" t="inlineStr">
        <is>
          <t>MELLERUD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35035-2023</t>
        </is>
      </c>
      <c r="B11698" s="1" t="n">
        <v>45142</v>
      </c>
      <c r="C11698" s="1" t="n">
        <v>46011</v>
      </c>
      <c r="D11698" t="inlineStr">
        <is>
          <t>VÄSTRA GÖTALANDS LÄN</t>
        </is>
      </c>
      <c r="E11698" t="inlineStr">
        <is>
          <t>VARA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59231-2023</t>
        </is>
      </c>
      <c r="B11699" s="1" t="n">
        <v>45253</v>
      </c>
      <c r="C11699" s="1" t="n">
        <v>46011</v>
      </c>
      <c r="D11699" t="inlineStr">
        <is>
          <t>VÄSTRA GÖTALANDS LÄN</t>
        </is>
      </c>
      <c r="E11699" t="inlineStr">
        <is>
          <t>GULLSPÅNG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11679-2021</t>
        </is>
      </c>
      <c r="B11700" s="1" t="n">
        <v>44264</v>
      </c>
      <c r="C11700" s="1" t="n">
        <v>46011</v>
      </c>
      <c r="D11700" t="inlineStr">
        <is>
          <t>VÄSTRA GÖTALANDS LÄN</t>
        </is>
      </c>
      <c r="E11700" t="inlineStr">
        <is>
          <t>SVENLJUNGA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58308-2023</t>
        </is>
      </c>
      <c r="B11701" s="1" t="n">
        <v>45250</v>
      </c>
      <c r="C11701" s="1" t="n">
        <v>46011</v>
      </c>
      <c r="D11701" t="inlineStr">
        <is>
          <t>VÄSTRA GÖTALANDS LÄN</t>
        </is>
      </c>
      <c r="E11701" t="inlineStr">
        <is>
          <t>SVENLJUNGA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11948-2021</t>
        </is>
      </c>
      <c r="B11702" s="1" t="n">
        <v>44266.38083333334</v>
      </c>
      <c r="C11702" s="1" t="n">
        <v>46011</v>
      </c>
      <c r="D11702" t="inlineStr">
        <is>
          <t>VÄSTRA GÖTALANDS LÄN</t>
        </is>
      </c>
      <c r="E11702" t="inlineStr">
        <is>
          <t>BORÅS</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11955-2021</t>
        </is>
      </c>
      <c r="B11703" s="1" t="n">
        <v>44266.3884837963</v>
      </c>
      <c r="C11703" s="1" t="n">
        <v>46011</v>
      </c>
      <c r="D11703" t="inlineStr">
        <is>
          <t>VÄSTRA GÖTALANDS LÄN</t>
        </is>
      </c>
      <c r="E11703" t="inlineStr">
        <is>
          <t>BORÅS</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46493-2023</t>
        </is>
      </c>
      <c r="B11704" s="1" t="n">
        <v>45197</v>
      </c>
      <c r="C11704" s="1" t="n">
        <v>46011</v>
      </c>
      <c r="D11704" t="inlineStr">
        <is>
          <t>VÄSTRA GÖTALANDS LÄN</t>
        </is>
      </c>
      <c r="E11704" t="inlineStr">
        <is>
          <t>ULRICEHAMN</t>
        </is>
      </c>
      <c r="F11704" t="inlineStr">
        <is>
          <t>Sveaskog</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56793-2023</t>
        </is>
      </c>
      <c r="B11705" s="1" t="n">
        <v>45244.42677083334</v>
      </c>
      <c r="C11705" s="1" t="n">
        <v>46011</v>
      </c>
      <c r="D11705" t="inlineStr">
        <is>
          <t>VÄSTRA GÖTALANDS LÄN</t>
        </is>
      </c>
      <c r="E11705" t="inlineStr">
        <is>
          <t>ULRICEHAMN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63426-2023</t>
        </is>
      </c>
      <c r="B11706" s="1" t="n">
        <v>45274</v>
      </c>
      <c r="C11706" s="1" t="n">
        <v>46011</v>
      </c>
      <c r="D11706" t="inlineStr">
        <is>
          <t>VÄSTRA GÖTALANDS LÄN</t>
        </is>
      </c>
      <c r="E11706" t="inlineStr">
        <is>
          <t>VARA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56829-2023</t>
        </is>
      </c>
      <c r="B11707" s="1" t="n">
        <v>45244.46680555555</v>
      </c>
      <c r="C11707" s="1" t="n">
        <v>46011</v>
      </c>
      <c r="D11707" t="inlineStr">
        <is>
          <t>VÄSTRA GÖTALANDS LÄN</t>
        </is>
      </c>
      <c r="E11707" t="inlineStr">
        <is>
          <t>VÄNERSBORG</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56905-2023</t>
        </is>
      </c>
      <c r="B11708" s="1" t="n">
        <v>45244</v>
      </c>
      <c r="C11708" s="1" t="n">
        <v>46011</v>
      </c>
      <c r="D11708" t="inlineStr">
        <is>
          <t>VÄSTRA GÖTALANDS LÄN</t>
        </is>
      </c>
      <c r="E11708" t="inlineStr">
        <is>
          <t>MARK</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36906-2023</t>
        </is>
      </c>
      <c r="B11709" s="1" t="n">
        <v>45153</v>
      </c>
      <c r="C11709" s="1" t="n">
        <v>46011</v>
      </c>
      <c r="D11709" t="inlineStr">
        <is>
          <t>VÄSTRA GÖTALANDS LÄN</t>
        </is>
      </c>
      <c r="E11709" t="inlineStr">
        <is>
          <t>MUNKEDAL</t>
        </is>
      </c>
      <c r="F11709" t="inlineStr">
        <is>
          <t>Övriga Aktiebolag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36912-2023</t>
        </is>
      </c>
      <c r="B11710" s="1" t="n">
        <v>45153</v>
      </c>
      <c r="C11710" s="1" t="n">
        <v>46011</v>
      </c>
      <c r="D11710" t="inlineStr">
        <is>
          <t>VÄSTRA GÖTALANDS LÄN</t>
        </is>
      </c>
      <c r="E11710" t="inlineStr">
        <is>
          <t>MUNKEDAL</t>
        </is>
      </c>
      <c r="F11710" t="inlineStr">
        <is>
          <t>Övriga Aktiebolag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30982-2023</t>
        </is>
      </c>
      <c r="B11711" s="1" t="n">
        <v>45113</v>
      </c>
      <c r="C11711" s="1" t="n">
        <v>46011</v>
      </c>
      <c r="D11711" t="inlineStr">
        <is>
          <t>VÄSTRA GÖTALANDS LÄN</t>
        </is>
      </c>
      <c r="E11711" t="inlineStr">
        <is>
          <t>TRANEMO</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59566-2023</t>
        </is>
      </c>
      <c r="B11712" s="1" t="n">
        <v>45254</v>
      </c>
      <c r="C11712" s="1" t="n">
        <v>46011</v>
      </c>
      <c r="D11712" t="inlineStr">
        <is>
          <t>VÄSTRA GÖTALANDS LÄN</t>
        </is>
      </c>
      <c r="E11712" t="inlineStr">
        <is>
          <t>ALINGSÅS</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49506-2023</t>
        </is>
      </c>
      <c r="B11713" s="1" t="n">
        <v>45211.57574074074</v>
      </c>
      <c r="C11713" s="1" t="n">
        <v>46011</v>
      </c>
      <c r="D11713" t="inlineStr">
        <is>
          <t>VÄSTRA GÖTALANDS LÄN</t>
        </is>
      </c>
      <c r="E11713" t="inlineStr">
        <is>
          <t>ULRICEHAMN</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43752-2023</t>
        </is>
      </c>
      <c r="B11714" s="1" t="n">
        <v>45187</v>
      </c>
      <c r="C11714" s="1" t="n">
        <v>46011</v>
      </c>
      <c r="D11714" t="inlineStr">
        <is>
          <t>VÄSTRA GÖTALANDS LÄN</t>
        </is>
      </c>
      <c r="E11714" t="inlineStr">
        <is>
          <t>ORUST</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50078-2023</t>
        </is>
      </c>
      <c r="B11715" s="1" t="n">
        <v>45215.58049768519</v>
      </c>
      <c r="C11715" s="1" t="n">
        <v>46011</v>
      </c>
      <c r="D11715" t="inlineStr">
        <is>
          <t>VÄSTRA GÖTALANDS LÄN</t>
        </is>
      </c>
      <c r="E11715" t="inlineStr">
        <is>
          <t>TIDAHOLM</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43817-2023</t>
        </is>
      </c>
      <c r="B11716" s="1" t="n">
        <v>45187</v>
      </c>
      <c r="C11716" s="1" t="n">
        <v>46011</v>
      </c>
      <c r="D11716" t="inlineStr">
        <is>
          <t>VÄSTRA GÖTALANDS LÄN</t>
        </is>
      </c>
      <c r="E11716" t="inlineStr">
        <is>
          <t>VÄNERSBORG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7243-2025</t>
        </is>
      </c>
      <c r="B11717" s="1" t="n">
        <v>45702.5430324074</v>
      </c>
      <c r="C11717" s="1" t="n">
        <v>46011</v>
      </c>
      <c r="D11717" t="inlineStr">
        <is>
          <t>VÄSTRA GÖTALANDS LÄN</t>
        </is>
      </c>
      <c r="E11717" t="inlineStr">
        <is>
          <t>VÄNERSBORG</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43767-2023</t>
        </is>
      </c>
      <c r="B11718" s="1" t="n">
        <v>45187.50667824074</v>
      </c>
      <c r="C11718" s="1" t="n">
        <v>46011</v>
      </c>
      <c r="D11718" t="inlineStr">
        <is>
          <t>VÄSTRA GÖTALANDS LÄN</t>
        </is>
      </c>
      <c r="E11718" t="inlineStr">
        <is>
          <t>LILLA EDET</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44308-2023</t>
        </is>
      </c>
      <c r="B11719" s="1" t="n">
        <v>45188.64850694445</v>
      </c>
      <c r="C11719" s="1" t="n">
        <v>46011</v>
      </c>
      <c r="D11719" t="inlineStr">
        <is>
          <t>VÄSTRA GÖTALANDS LÄN</t>
        </is>
      </c>
      <c r="E11719" t="inlineStr">
        <is>
          <t>LIDKÖPING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15364-2022</t>
        </is>
      </c>
      <c r="B11720" s="1" t="n">
        <v>44659</v>
      </c>
      <c r="C11720" s="1" t="n">
        <v>46011</v>
      </c>
      <c r="D11720" t="inlineStr">
        <is>
          <t>VÄSTRA GÖTALANDS LÄN</t>
        </is>
      </c>
      <c r="E11720" t="inlineStr">
        <is>
          <t>DALS-ED</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46843-2023</t>
        </is>
      </c>
      <c r="B11721" s="1" t="n">
        <v>45199.73854166667</v>
      </c>
      <c r="C11721" s="1" t="n">
        <v>46011</v>
      </c>
      <c r="D11721" t="inlineStr">
        <is>
          <t>VÄSTRA GÖTALANDS LÄN</t>
        </is>
      </c>
      <c r="E11721" t="inlineStr">
        <is>
          <t>FALKÖPING</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3408-2021</t>
        </is>
      </c>
      <c r="B11722" s="1" t="n">
        <v>44218</v>
      </c>
      <c r="C11722" s="1" t="n">
        <v>46011</v>
      </c>
      <c r="D11722" t="inlineStr">
        <is>
          <t>VÄSTRA GÖTALANDS LÄN</t>
        </is>
      </c>
      <c r="E11722" t="inlineStr">
        <is>
          <t>MARK</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44219-2023</t>
        </is>
      </c>
      <c r="B11723" s="1" t="n">
        <v>45188.55583333333</v>
      </c>
      <c r="C11723" s="1" t="n">
        <v>46011</v>
      </c>
      <c r="D11723" t="inlineStr">
        <is>
          <t>VÄSTRA GÖTALANDS LÄN</t>
        </is>
      </c>
      <c r="E11723" t="inlineStr">
        <is>
          <t>MARIESTAD</t>
        </is>
      </c>
      <c r="F11723" t="inlineStr">
        <is>
          <t>Sveaskog</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101-2025</t>
        </is>
      </c>
      <c r="B11724" s="1" t="n">
        <v>45649</v>
      </c>
      <c r="C11724" s="1" t="n">
        <v>46011</v>
      </c>
      <c r="D11724" t="inlineStr">
        <is>
          <t>VÄSTRA GÖTALANDS LÄN</t>
        </is>
      </c>
      <c r="E11724" t="inlineStr">
        <is>
          <t>TANUM</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32816-2023</t>
        </is>
      </c>
      <c r="B11725" s="1" t="n">
        <v>45124</v>
      </c>
      <c r="C11725" s="1" t="n">
        <v>46011</v>
      </c>
      <c r="D11725" t="inlineStr">
        <is>
          <t>VÄSTRA GÖTALANDS LÄN</t>
        </is>
      </c>
      <c r="E11725" t="inlineStr">
        <is>
          <t>BENGTSFORS</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23283-2022</t>
        </is>
      </c>
      <c r="B11726" s="1" t="n">
        <v>44720.43766203704</v>
      </c>
      <c r="C11726" s="1" t="n">
        <v>46011</v>
      </c>
      <c r="D11726" t="inlineStr">
        <is>
          <t>VÄSTRA GÖTALANDS LÄN</t>
        </is>
      </c>
      <c r="E11726" t="inlineStr">
        <is>
          <t>TIDAHOLM</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4203-2025</t>
        </is>
      </c>
      <c r="B11727" s="1" t="n">
        <v>45685.46277777778</v>
      </c>
      <c r="C11727" s="1" t="n">
        <v>46011</v>
      </c>
      <c r="D11727" t="inlineStr">
        <is>
          <t>VÄSTRA GÖTALANDS LÄN</t>
        </is>
      </c>
      <c r="E11727" t="inlineStr">
        <is>
          <t>ULRICEHAMN</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20870-2022</t>
        </is>
      </c>
      <c r="B11728" s="1" t="n">
        <v>44701</v>
      </c>
      <c r="C11728" s="1" t="n">
        <v>46011</v>
      </c>
      <c r="D11728" t="inlineStr">
        <is>
          <t>VÄSTRA GÖTALANDS LÄN</t>
        </is>
      </c>
      <c r="E11728" t="inlineStr">
        <is>
          <t>SKARA</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1401-2021</t>
        </is>
      </c>
      <c r="B11729" s="1" t="n">
        <v>44208</v>
      </c>
      <c r="C11729" s="1" t="n">
        <v>46011</v>
      </c>
      <c r="D11729" t="inlineStr">
        <is>
          <t>VÄSTRA GÖTALANDS LÄN</t>
        </is>
      </c>
      <c r="E11729" t="inlineStr">
        <is>
          <t>BORÅS</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39894-2023</t>
        </is>
      </c>
      <c r="B11730" s="1" t="n">
        <v>45166</v>
      </c>
      <c r="C11730" s="1" t="n">
        <v>46011</v>
      </c>
      <c r="D11730" t="inlineStr">
        <is>
          <t>VÄSTRA GÖTALANDS LÄN</t>
        </is>
      </c>
      <c r="E11730" t="inlineStr">
        <is>
          <t>TÖREBODA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46790-2023</t>
        </is>
      </c>
      <c r="B11731" s="1" t="n">
        <v>45198.69354166667</v>
      </c>
      <c r="C11731" s="1" t="n">
        <v>46011</v>
      </c>
      <c r="D11731" t="inlineStr">
        <is>
          <t>VÄSTRA GÖTALANDS LÄN</t>
        </is>
      </c>
      <c r="E11731" t="inlineStr">
        <is>
          <t>HJO</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9108-2022</t>
        </is>
      </c>
      <c r="B11732" s="1" t="n">
        <v>44615</v>
      </c>
      <c r="C11732" s="1" t="n">
        <v>46011</v>
      </c>
      <c r="D11732" t="inlineStr">
        <is>
          <t>VÄSTRA GÖTALANDS LÄN</t>
        </is>
      </c>
      <c r="E11732" t="inlineStr">
        <is>
          <t>VARA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55013-2023</t>
        </is>
      </c>
      <c r="B11733" s="1" t="n">
        <v>45237.31706018518</v>
      </c>
      <c r="C11733" s="1" t="n">
        <v>46011</v>
      </c>
      <c r="D11733" t="inlineStr">
        <is>
          <t>VÄSTRA GÖTALANDS LÄN</t>
        </is>
      </c>
      <c r="E11733" t="inlineStr">
        <is>
          <t>FALKÖPING</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55014-2023</t>
        </is>
      </c>
      <c r="B11734" s="1" t="n">
        <v>45237.31819444444</v>
      </c>
      <c r="C11734" s="1" t="n">
        <v>46011</v>
      </c>
      <c r="D11734" t="inlineStr">
        <is>
          <t>VÄSTRA GÖTALANDS LÄN</t>
        </is>
      </c>
      <c r="E11734" t="inlineStr">
        <is>
          <t>MARK</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57755-2024</t>
        </is>
      </c>
      <c r="B11735" s="1" t="n">
        <v>45630.84311342592</v>
      </c>
      <c r="C11735" s="1" t="n">
        <v>46011</v>
      </c>
      <c r="D11735" t="inlineStr">
        <is>
          <t>VÄSTRA GÖTALANDS LÄN</t>
        </is>
      </c>
      <c r="E11735" t="inlineStr">
        <is>
          <t>UDDEVALLA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55547-2023</t>
        </is>
      </c>
      <c r="B11736" s="1" t="n">
        <v>45238</v>
      </c>
      <c r="C11736" s="1" t="n">
        <v>46011</v>
      </c>
      <c r="D11736" t="inlineStr">
        <is>
          <t>VÄSTRA GÖTALANDS LÄN</t>
        </is>
      </c>
      <c r="E11736" t="inlineStr">
        <is>
          <t>SVENLJUNGA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60023-2023</t>
        </is>
      </c>
      <c r="B11737" s="1" t="n">
        <v>45258.30628472222</v>
      </c>
      <c r="C11737" s="1" t="n">
        <v>46011</v>
      </c>
      <c r="D11737" t="inlineStr">
        <is>
          <t>VÄSTRA GÖTALANDS LÄN</t>
        </is>
      </c>
      <c r="E11737" t="inlineStr">
        <is>
          <t>BENGTSFORS</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60034-2023</t>
        </is>
      </c>
      <c r="B11738" s="1" t="n">
        <v>45258.3278125</v>
      </c>
      <c r="C11738" s="1" t="n">
        <v>46011</v>
      </c>
      <c r="D11738" t="inlineStr">
        <is>
          <t>VÄSTRA GÖTALANDS LÄN</t>
        </is>
      </c>
      <c r="E11738" t="inlineStr">
        <is>
          <t>TRANEMO</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9492-2025</t>
        </is>
      </c>
      <c r="B11739" s="1" t="n">
        <v>45715.49974537037</v>
      </c>
      <c r="C11739" s="1" t="n">
        <v>46011</v>
      </c>
      <c r="D11739" t="inlineStr">
        <is>
          <t>VÄSTRA GÖTALANDS LÄN</t>
        </is>
      </c>
      <c r="E11739" t="inlineStr">
        <is>
          <t>HÄRRYDA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9529-2025</t>
        </is>
      </c>
      <c r="B11740" s="1" t="n">
        <v>45715.56778935185</v>
      </c>
      <c r="C11740" s="1" t="n">
        <v>46011</v>
      </c>
      <c r="D11740" t="inlineStr">
        <is>
          <t>VÄSTRA GÖTALANDS LÄN</t>
        </is>
      </c>
      <c r="E11740" t="inlineStr">
        <is>
          <t>BORÅS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25813-2022</t>
        </is>
      </c>
      <c r="B11741" s="1" t="n">
        <v>44733</v>
      </c>
      <c r="C11741" s="1" t="n">
        <v>46011</v>
      </c>
      <c r="D11741" t="inlineStr">
        <is>
          <t>VÄSTRA GÖTALANDS LÄN</t>
        </is>
      </c>
      <c r="E11741" t="inlineStr">
        <is>
          <t>UDDEVALLA</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61681-2023</t>
        </is>
      </c>
      <c r="B11742" s="1" t="n">
        <v>45264</v>
      </c>
      <c r="C11742" s="1" t="n">
        <v>46011</v>
      </c>
      <c r="D11742" t="inlineStr">
        <is>
          <t>VÄSTRA GÖTALANDS LÄN</t>
        </is>
      </c>
      <c r="E11742" t="inlineStr">
        <is>
          <t>BORÅS</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40390-2022</t>
        </is>
      </c>
      <c r="B11743" s="1" t="n">
        <v>44823</v>
      </c>
      <c r="C11743" s="1" t="n">
        <v>46011</v>
      </c>
      <c r="D11743" t="inlineStr">
        <is>
          <t>VÄSTRA GÖTALANDS LÄN</t>
        </is>
      </c>
      <c r="E11743" t="inlineStr">
        <is>
          <t>DALS-ED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61738-2023</t>
        </is>
      </c>
      <c r="B11744" s="1" t="n">
        <v>45265.69861111111</v>
      </c>
      <c r="C11744" s="1" t="n">
        <v>46011</v>
      </c>
      <c r="D11744" t="inlineStr">
        <is>
          <t>VÄSTRA GÖTALANDS LÄN</t>
        </is>
      </c>
      <c r="E11744" t="inlineStr">
        <is>
          <t>VARA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18249-2022</t>
        </is>
      </c>
      <c r="B11745" s="1" t="n">
        <v>44685.40488425926</v>
      </c>
      <c r="C11745" s="1" t="n">
        <v>46011</v>
      </c>
      <c r="D11745" t="inlineStr">
        <is>
          <t>VÄSTRA GÖTALANDS LÄN</t>
        </is>
      </c>
      <c r="E11745" t="inlineStr">
        <is>
          <t>TIDAHOLM</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18296-2022</t>
        </is>
      </c>
      <c r="B11746" s="1" t="n">
        <v>44685.53243055556</v>
      </c>
      <c r="C11746" s="1" t="n">
        <v>46011</v>
      </c>
      <c r="D11746" t="inlineStr">
        <is>
          <t>VÄSTRA GÖTALANDS LÄN</t>
        </is>
      </c>
      <c r="E11746" t="inlineStr">
        <is>
          <t>ULRICEHAMN</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20231-2025</t>
        </is>
      </c>
      <c r="B11747" s="1" t="n">
        <v>45772.66784722222</v>
      </c>
      <c r="C11747" s="1" t="n">
        <v>46011</v>
      </c>
      <c r="D11747" t="inlineStr">
        <is>
          <t>VÄSTRA GÖTALANDS LÄN</t>
        </is>
      </c>
      <c r="E11747" t="inlineStr">
        <is>
          <t>HERRLJUNGA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11175-2025</t>
        </is>
      </c>
      <c r="B11748" s="1" t="n">
        <v>45724.62498842592</v>
      </c>
      <c r="C11748" s="1" t="n">
        <v>46011</v>
      </c>
      <c r="D11748" t="inlineStr">
        <is>
          <t>VÄSTRA GÖTALANDS LÄN</t>
        </is>
      </c>
      <c r="E11748" t="inlineStr">
        <is>
          <t>MARK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12942-2024</t>
        </is>
      </c>
      <c r="B11749" s="1" t="n">
        <v>45385.46519675926</v>
      </c>
      <c r="C11749" s="1" t="n">
        <v>46011</v>
      </c>
      <c r="D11749" t="inlineStr">
        <is>
          <t>VÄSTRA GÖTALANDS LÄN</t>
        </is>
      </c>
      <c r="E11749" t="inlineStr">
        <is>
          <t>SKÖVDE</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7394-2025</t>
        </is>
      </c>
      <c r="B11750" s="1" t="n">
        <v>45705.33614583333</v>
      </c>
      <c r="C11750" s="1" t="n">
        <v>46011</v>
      </c>
      <c r="D11750" t="inlineStr">
        <is>
          <t>VÄSTRA GÖTALANDS LÄN</t>
        </is>
      </c>
      <c r="E11750" t="inlineStr">
        <is>
          <t>DALS-ED</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15793-2022</t>
        </is>
      </c>
      <c r="B11751" s="1" t="n">
        <v>44663</v>
      </c>
      <c r="C11751" s="1" t="n">
        <v>46011</v>
      </c>
      <c r="D11751" t="inlineStr">
        <is>
          <t>VÄSTRA GÖTALANDS LÄN</t>
        </is>
      </c>
      <c r="E11751" t="inlineStr">
        <is>
          <t>FALKÖPING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58706-2023</t>
        </is>
      </c>
      <c r="B11752" s="1" t="n">
        <v>45251</v>
      </c>
      <c r="C11752" s="1" t="n">
        <v>46011</v>
      </c>
      <c r="D11752" t="inlineStr">
        <is>
          <t>VÄSTRA GÖTALANDS LÄN</t>
        </is>
      </c>
      <c r="E11752" t="inlineStr">
        <is>
          <t>FALKÖPING</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4711-2025</t>
        </is>
      </c>
      <c r="B11753" s="1" t="n">
        <v>45688</v>
      </c>
      <c r="C11753" s="1" t="n">
        <v>46011</v>
      </c>
      <c r="D11753" t="inlineStr">
        <is>
          <t>VÄSTRA GÖTALANDS LÄN</t>
        </is>
      </c>
      <c r="E11753" t="inlineStr">
        <is>
          <t>FALKÖPING</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15696-2025</t>
        </is>
      </c>
      <c r="B11754" s="1" t="n">
        <v>45748.46936342592</v>
      </c>
      <c r="C11754" s="1" t="n">
        <v>46011</v>
      </c>
      <c r="D11754" t="inlineStr">
        <is>
          <t>VÄSTRA GÖTALANDS LÄN</t>
        </is>
      </c>
      <c r="E11754" t="inlineStr">
        <is>
          <t>GÖTENE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18635-2025</t>
        </is>
      </c>
      <c r="B11755" s="1" t="n">
        <v>45763.55327546296</v>
      </c>
      <c r="C11755" s="1" t="n">
        <v>46011</v>
      </c>
      <c r="D11755" t="inlineStr">
        <is>
          <t>VÄSTRA GÖTALANDS LÄN</t>
        </is>
      </c>
      <c r="E11755" t="inlineStr">
        <is>
          <t>FÄRGELANDA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20098-2022</t>
        </is>
      </c>
      <c r="B11756" s="1" t="n">
        <v>44698</v>
      </c>
      <c r="C11756" s="1" t="n">
        <v>46011</v>
      </c>
      <c r="D11756" t="inlineStr">
        <is>
          <t>VÄSTRA GÖTALANDS LÄN</t>
        </is>
      </c>
      <c r="E11756" t="inlineStr">
        <is>
          <t>SKARA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38103-2023</t>
        </is>
      </c>
      <c r="B11757" s="1" t="n">
        <v>45161</v>
      </c>
      <c r="C11757" s="1" t="n">
        <v>46011</v>
      </c>
      <c r="D11757" t="inlineStr">
        <is>
          <t>VÄSTRA GÖTALANDS LÄN</t>
        </is>
      </c>
      <c r="E11757" t="inlineStr">
        <is>
          <t>KARLSBORG</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54922-2023</t>
        </is>
      </c>
      <c r="B11758" s="1" t="n">
        <v>45236.67905092592</v>
      </c>
      <c r="C11758" s="1" t="n">
        <v>46011</v>
      </c>
      <c r="D11758" t="inlineStr">
        <is>
          <t>VÄSTRA GÖTALANDS LÄN</t>
        </is>
      </c>
      <c r="E11758" t="inlineStr">
        <is>
          <t>HERRLJUNGA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22918-2022</t>
        </is>
      </c>
      <c r="B11759" s="1" t="n">
        <v>44715</v>
      </c>
      <c r="C11759" s="1" t="n">
        <v>46011</v>
      </c>
      <c r="D11759" t="inlineStr">
        <is>
          <t>VÄSTRA GÖTALANDS LÄN</t>
        </is>
      </c>
      <c r="E11759" t="inlineStr">
        <is>
          <t>MARK</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22923-2022</t>
        </is>
      </c>
      <c r="B11760" s="1" t="n">
        <v>44715</v>
      </c>
      <c r="C11760" s="1" t="n">
        <v>46011</v>
      </c>
      <c r="D11760" t="inlineStr">
        <is>
          <t>VÄSTRA GÖTALANDS LÄN</t>
        </is>
      </c>
      <c r="E11760" t="inlineStr">
        <is>
          <t>UDDEVALLA</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55731-2023</t>
        </is>
      </c>
      <c r="B11761" s="1" t="n">
        <v>45239</v>
      </c>
      <c r="C11761" s="1" t="n">
        <v>46011</v>
      </c>
      <c r="D11761" t="inlineStr">
        <is>
          <t>VÄSTRA GÖTALANDS LÄN</t>
        </is>
      </c>
      <c r="E11761" t="inlineStr">
        <is>
          <t>UDDEVALLA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39991-2022</t>
        </is>
      </c>
      <c r="B11762" s="1" t="n">
        <v>44820.35342592592</v>
      </c>
      <c r="C11762" s="1" t="n">
        <v>46011</v>
      </c>
      <c r="D11762" t="inlineStr">
        <is>
          <t>VÄSTRA GÖTALANDS LÄN</t>
        </is>
      </c>
      <c r="E11762" t="inlineStr">
        <is>
          <t>UDDEVALLA</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18954-2025</t>
        </is>
      </c>
      <c r="B11763" s="1" t="n">
        <v>45764.51478009259</v>
      </c>
      <c r="C11763" s="1" t="n">
        <v>46011</v>
      </c>
      <c r="D11763" t="inlineStr">
        <is>
          <t>VÄSTRA GÖTALANDS LÄN</t>
        </is>
      </c>
      <c r="E11763" t="inlineStr">
        <is>
          <t>ORUST</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18508-2022</t>
        </is>
      </c>
      <c r="B11764" s="1" t="n">
        <v>44686.65185185185</v>
      </c>
      <c r="C11764" s="1" t="n">
        <v>46011</v>
      </c>
      <c r="D11764" t="inlineStr">
        <is>
          <t>VÄSTRA GÖTALANDS LÄN</t>
        </is>
      </c>
      <c r="E11764" t="inlineStr">
        <is>
          <t>HERRLJUNGA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18538-2022</t>
        </is>
      </c>
      <c r="B11765" s="1" t="n">
        <v>44686.85798611111</v>
      </c>
      <c r="C11765" s="1" t="n">
        <v>46011</v>
      </c>
      <c r="D11765" t="inlineStr">
        <is>
          <t>VÄSTRA GÖTALANDS LÄN</t>
        </is>
      </c>
      <c r="E11765" t="inlineStr">
        <is>
          <t>FÄRGELANDA</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24522-2024</t>
        </is>
      </c>
      <c r="B11766" s="1" t="n">
        <v>45458</v>
      </c>
      <c r="C11766" s="1" t="n">
        <v>46011</v>
      </c>
      <c r="D11766" t="inlineStr">
        <is>
          <t>VÄSTRA GÖTALANDS LÄN</t>
        </is>
      </c>
      <c r="E11766" t="inlineStr">
        <is>
          <t>MUNKEDAL</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1907-2021</t>
        </is>
      </c>
      <c r="B11767" s="1" t="n">
        <v>44210</v>
      </c>
      <c r="C11767" s="1" t="n">
        <v>46011</v>
      </c>
      <c r="D11767" t="inlineStr">
        <is>
          <t>VÄSTRA GÖTALANDS LÄN</t>
        </is>
      </c>
      <c r="E11767" t="inlineStr">
        <is>
          <t>SVENLJUNGA</t>
        </is>
      </c>
      <c r="F11767" t="inlineStr">
        <is>
          <t>Kyrkan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37497-2023</t>
        </is>
      </c>
      <c r="B11768" s="1" t="n">
        <v>45157.35537037037</v>
      </c>
      <c r="C11768" s="1" t="n">
        <v>46011</v>
      </c>
      <c r="D11768" t="inlineStr">
        <is>
          <t>VÄSTRA GÖTALANDS LÄN</t>
        </is>
      </c>
      <c r="E11768" t="inlineStr">
        <is>
          <t>TRANEMO</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36472-2023</t>
        </is>
      </c>
      <c r="B11769" s="1" t="n">
        <v>45152.68237268519</v>
      </c>
      <c r="C11769" s="1" t="n">
        <v>46011</v>
      </c>
      <c r="D11769" t="inlineStr">
        <is>
          <t>VÄSTRA GÖTALANDS LÄN</t>
        </is>
      </c>
      <c r="E11769" t="inlineStr">
        <is>
          <t>GÖTENE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13698-2024</t>
        </is>
      </c>
      <c r="B11770" s="1" t="n">
        <v>45390</v>
      </c>
      <c r="C11770" s="1" t="n">
        <v>46011</v>
      </c>
      <c r="D11770" t="inlineStr">
        <is>
          <t>VÄSTRA GÖTALANDS LÄN</t>
        </is>
      </c>
      <c r="E11770" t="inlineStr">
        <is>
          <t>VÄNERSBORG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13703-2024</t>
        </is>
      </c>
      <c r="B11771" s="1" t="n">
        <v>45390</v>
      </c>
      <c r="C11771" s="1" t="n">
        <v>46011</v>
      </c>
      <c r="D11771" t="inlineStr">
        <is>
          <t>VÄSTRA GÖTALANDS LÄN</t>
        </is>
      </c>
      <c r="E11771" t="inlineStr">
        <is>
          <t>HJO</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16656-2022</t>
        </is>
      </c>
      <c r="B11772" s="1" t="n">
        <v>44672.70159722222</v>
      </c>
      <c r="C11772" s="1" t="n">
        <v>46011</v>
      </c>
      <c r="D11772" t="inlineStr">
        <is>
          <t>VÄSTRA GÖTALANDS LÄN</t>
        </is>
      </c>
      <c r="E11772" t="inlineStr">
        <is>
          <t>MELLERUD</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24579-2022</t>
        </is>
      </c>
      <c r="B11773" s="1" t="n">
        <v>44727</v>
      </c>
      <c r="C11773" s="1" t="n">
        <v>46011</v>
      </c>
      <c r="D11773" t="inlineStr">
        <is>
          <t>VÄSTRA GÖTALANDS LÄN</t>
        </is>
      </c>
      <c r="E11773" t="inlineStr">
        <is>
          <t>ALINGSÅS</t>
        </is>
      </c>
      <c r="G11773" t="n">
        <v>10.4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16661-2022</t>
        </is>
      </c>
      <c r="B11774" s="1" t="n">
        <v>44672</v>
      </c>
      <c r="C11774" s="1" t="n">
        <v>46011</v>
      </c>
      <c r="D11774" t="inlineStr">
        <is>
          <t>VÄSTRA GÖTALANDS LÄN</t>
        </is>
      </c>
      <c r="E11774" t="inlineStr">
        <is>
          <t>FALKÖPING</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39088-2022</t>
        </is>
      </c>
      <c r="B11775" s="1" t="n">
        <v>44817.41553240741</v>
      </c>
      <c r="C11775" s="1" t="n">
        <v>46011</v>
      </c>
      <c r="D11775" t="inlineStr">
        <is>
          <t>VÄSTRA GÖTALANDS LÄN</t>
        </is>
      </c>
      <c r="E11775" t="inlineStr">
        <is>
          <t>UDDEVALLA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37073-2023</t>
        </is>
      </c>
      <c r="B11776" s="1" t="n">
        <v>45154</v>
      </c>
      <c r="C11776" s="1" t="n">
        <v>46011</v>
      </c>
      <c r="D11776" t="inlineStr">
        <is>
          <t>VÄSTRA GÖTALANDS LÄN</t>
        </is>
      </c>
      <c r="E11776" t="inlineStr">
        <is>
          <t>TANUM</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37077-2023</t>
        </is>
      </c>
      <c r="B11777" s="1" t="n">
        <v>45155.48460648148</v>
      </c>
      <c r="C11777" s="1" t="n">
        <v>46011</v>
      </c>
      <c r="D11777" t="inlineStr">
        <is>
          <t>VÄSTRA GÖTALANDS LÄN</t>
        </is>
      </c>
      <c r="E11777" t="inlineStr">
        <is>
          <t>LYSEKIL</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15344-2024</t>
        </is>
      </c>
      <c r="B11778" s="1" t="n">
        <v>45400.74315972222</v>
      </c>
      <c r="C11778" s="1" t="n">
        <v>46011</v>
      </c>
      <c r="D11778" t="inlineStr">
        <is>
          <t>VÄSTRA GÖTALANDS LÄN</t>
        </is>
      </c>
      <c r="E11778" t="inlineStr">
        <is>
          <t>SVENLJUNGA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20005-2021</t>
        </is>
      </c>
      <c r="B11779" s="1" t="n">
        <v>44313.89017361111</v>
      </c>
      <c r="C11779" s="1" t="n">
        <v>46011</v>
      </c>
      <c r="D11779" t="inlineStr">
        <is>
          <t>VÄSTRA GÖTALANDS LÄN</t>
        </is>
      </c>
      <c r="E11779" t="inlineStr">
        <is>
          <t>HERRLJUNGA</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20036-2021</t>
        </is>
      </c>
      <c r="B11780" s="1" t="n">
        <v>44314.33216435185</v>
      </c>
      <c r="C11780" s="1" t="n">
        <v>46011</v>
      </c>
      <c r="D11780" t="inlineStr">
        <is>
          <t>VÄSTRA GÖTALANDS LÄN</t>
        </is>
      </c>
      <c r="E11780" t="inlineStr">
        <is>
          <t>FÄRGELANDA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9579-2021</t>
        </is>
      </c>
      <c r="B11781" s="1" t="n">
        <v>44251</v>
      </c>
      <c r="C11781" s="1" t="n">
        <v>46011</v>
      </c>
      <c r="D11781" t="inlineStr">
        <is>
          <t>VÄSTRA GÖTALANDS LÄN</t>
        </is>
      </c>
      <c r="E11781" t="inlineStr">
        <is>
          <t>VARA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53909-2023</t>
        </is>
      </c>
      <c r="B11782" s="1" t="n">
        <v>45231.55700231482</v>
      </c>
      <c r="C11782" s="1" t="n">
        <v>46011</v>
      </c>
      <c r="D11782" t="inlineStr">
        <is>
          <t>VÄSTRA GÖTALANDS LÄN</t>
        </is>
      </c>
      <c r="E11782" t="inlineStr">
        <is>
          <t>KARLSBORG</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32483-2023</t>
        </is>
      </c>
      <c r="B11783" s="1" t="n">
        <v>45120</v>
      </c>
      <c r="C11783" s="1" t="n">
        <v>46011</v>
      </c>
      <c r="D11783" t="inlineStr">
        <is>
          <t>VÄSTRA GÖTALANDS LÄN</t>
        </is>
      </c>
      <c r="E11783" t="inlineStr">
        <is>
          <t>BORÅS</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5506-2025</t>
        </is>
      </c>
      <c r="B11784" s="1" t="n">
        <v>45693.39181712963</v>
      </c>
      <c r="C11784" s="1" t="n">
        <v>46011</v>
      </c>
      <c r="D11784" t="inlineStr">
        <is>
          <t>VÄSTRA GÖTALANDS LÄN</t>
        </is>
      </c>
      <c r="E11784" t="inlineStr">
        <is>
          <t>FÄRGELANDA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18280-2024</t>
        </is>
      </c>
      <c r="B11785" s="1" t="n">
        <v>45422.32804398148</v>
      </c>
      <c r="C11785" s="1" t="n">
        <v>46011</v>
      </c>
      <c r="D11785" t="inlineStr">
        <is>
          <t>VÄSTRA GÖTALANDS LÄN</t>
        </is>
      </c>
      <c r="E11785" t="inlineStr">
        <is>
          <t>MARK</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44146-2023</t>
        </is>
      </c>
      <c r="B11786" s="1" t="n">
        <v>45188</v>
      </c>
      <c r="C11786" s="1" t="n">
        <v>46011</v>
      </c>
      <c r="D11786" t="inlineStr">
        <is>
          <t>VÄSTRA GÖTALANDS LÄN</t>
        </is>
      </c>
      <c r="E11786" t="inlineStr">
        <is>
          <t>LYSEKIL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5509-2025</t>
        </is>
      </c>
      <c r="B11787" s="1" t="n">
        <v>45693.39619212963</v>
      </c>
      <c r="C11787" s="1" t="n">
        <v>46011</v>
      </c>
      <c r="D11787" t="inlineStr">
        <is>
          <t>VÄSTRA GÖTALANDS LÄN</t>
        </is>
      </c>
      <c r="E11787" t="inlineStr">
        <is>
          <t>MELLERUD</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55952-2023</t>
        </is>
      </c>
      <c r="B11788" s="1" t="n">
        <v>45240.34545138889</v>
      </c>
      <c r="C11788" s="1" t="n">
        <v>46011</v>
      </c>
      <c r="D11788" t="inlineStr">
        <is>
          <t>VÄSTRA GÖTALANDS LÄN</t>
        </is>
      </c>
      <c r="E11788" t="inlineStr">
        <is>
          <t>BORÅS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19514-2025</t>
        </is>
      </c>
      <c r="B11789" s="1" t="n">
        <v>45770.4296875</v>
      </c>
      <c r="C11789" s="1" t="n">
        <v>46011</v>
      </c>
      <c r="D11789" t="inlineStr">
        <is>
          <t>VÄSTRA GÖTALANDS LÄN</t>
        </is>
      </c>
      <c r="E11789" t="inlineStr">
        <is>
          <t>MARK</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51019-2023</t>
        </is>
      </c>
      <c r="B11790" s="1" t="n">
        <v>45218.5928587963</v>
      </c>
      <c r="C11790" s="1" t="n">
        <v>46011</v>
      </c>
      <c r="D11790" t="inlineStr">
        <is>
          <t>VÄSTRA GÖTALANDS LÄN</t>
        </is>
      </c>
      <c r="E11790" t="inlineStr">
        <is>
          <t>FÄRGELANDA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51463-2023</t>
        </is>
      </c>
      <c r="B11791" s="1" t="n">
        <v>45221.58049768519</v>
      </c>
      <c r="C11791" s="1" t="n">
        <v>46011</v>
      </c>
      <c r="D11791" t="inlineStr">
        <is>
          <t>VÄSTRA GÖTALANDS LÄN</t>
        </is>
      </c>
      <c r="E11791" t="inlineStr">
        <is>
          <t>MELLERUD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52377-2023</t>
        </is>
      </c>
      <c r="B11792" s="1" t="n">
        <v>45224</v>
      </c>
      <c r="C11792" s="1" t="n">
        <v>46011</v>
      </c>
      <c r="D11792" t="inlineStr">
        <is>
          <t>VÄSTRA GÖTALANDS LÄN</t>
        </is>
      </c>
      <c r="E11792" t="inlineStr">
        <is>
          <t>SKÖVDE</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44534-2023</t>
        </is>
      </c>
      <c r="B11793" s="1" t="n">
        <v>45189.49895833333</v>
      </c>
      <c r="C11793" s="1" t="n">
        <v>46011</v>
      </c>
      <c r="D11793" t="inlineStr">
        <is>
          <t>VÄSTRA GÖTALANDS LÄN</t>
        </is>
      </c>
      <c r="E11793" t="inlineStr">
        <is>
          <t>TRANEMO</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44577-2023</t>
        </is>
      </c>
      <c r="B11794" s="1" t="n">
        <v>45183</v>
      </c>
      <c r="C11794" s="1" t="n">
        <v>46011</v>
      </c>
      <c r="D11794" t="inlineStr">
        <is>
          <t>VÄSTRA GÖTALANDS LÄN</t>
        </is>
      </c>
      <c r="E11794" t="inlineStr">
        <is>
          <t>KARLSBORG</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11772-2021</t>
        </is>
      </c>
      <c r="B11795" s="1" t="n">
        <v>44265</v>
      </c>
      <c r="C11795" s="1" t="n">
        <v>46011</v>
      </c>
      <c r="D11795" t="inlineStr">
        <is>
          <t>VÄSTRA GÖTALANDS LÄN</t>
        </is>
      </c>
      <c r="E11795" t="inlineStr">
        <is>
          <t>ULRICEHAMN</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34217-2022</t>
        </is>
      </c>
      <c r="B11796" s="1" t="n">
        <v>44791</v>
      </c>
      <c r="C11796" s="1" t="n">
        <v>46011</v>
      </c>
      <c r="D11796" t="inlineStr">
        <is>
          <t>VÄSTRA GÖTALANDS LÄN</t>
        </is>
      </c>
      <c r="E11796" t="inlineStr">
        <is>
          <t>ORUST</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38539-2023</t>
        </is>
      </c>
      <c r="B11797" s="1" t="n">
        <v>45162.58184027778</v>
      </c>
      <c r="C11797" s="1" t="n">
        <v>46011</v>
      </c>
      <c r="D11797" t="inlineStr">
        <is>
          <t>VÄSTRA GÖTALANDS LÄN</t>
        </is>
      </c>
      <c r="E11797" t="inlineStr">
        <is>
          <t>ULRICEHAMN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7867-2022</t>
        </is>
      </c>
      <c r="B11798" s="1" t="n">
        <v>44608</v>
      </c>
      <c r="C11798" s="1" t="n">
        <v>46011</v>
      </c>
      <c r="D11798" t="inlineStr">
        <is>
          <t>VÄSTRA GÖTALANDS LÄN</t>
        </is>
      </c>
      <c r="E11798" t="inlineStr">
        <is>
          <t>BENGTSFORS</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44355-2023</t>
        </is>
      </c>
      <c r="B11799" s="1" t="n">
        <v>45188.80806712963</v>
      </c>
      <c r="C11799" s="1" t="n">
        <v>46011</v>
      </c>
      <c r="D11799" t="inlineStr">
        <is>
          <t>VÄSTRA GÖTALANDS LÄN</t>
        </is>
      </c>
      <c r="E11799" t="inlineStr">
        <is>
          <t>HERRLJUNGA</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35605-2022</t>
        </is>
      </c>
      <c r="B11800" s="1" t="n">
        <v>44799.46290509259</v>
      </c>
      <c r="C11800" s="1" t="n">
        <v>46011</v>
      </c>
      <c r="D11800" t="inlineStr">
        <is>
          <t>VÄSTRA GÖTALANDS LÄN</t>
        </is>
      </c>
      <c r="E11800" t="inlineStr">
        <is>
          <t>TRANEMO</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41314-2022</t>
        </is>
      </c>
      <c r="B11801" s="1" t="n">
        <v>44826</v>
      </c>
      <c r="C11801" s="1" t="n">
        <v>46011</v>
      </c>
      <c r="D11801" t="inlineStr">
        <is>
          <t>VÄSTRA GÖTALANDS LÄN</t>
        </is>
      </c>
      <c r="E11801" t="inlineStr">
        <is>
          <t>BENGTSFORS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16575-2025</t>
        </is>
      </c>
      <c r="B11802" s="1" t="n">
        <v>45752.56149305555</v>
      </c>
      <c r="C11802" s="1" t="n">
        <v>46011</v>
      </c>
      <c r="D11802" t="inlineStr">
        <is>
          <t>VÄSTRA GÖTALANDS LÄN</t>
        </is>
      </c>
      <c r="E11802" t="inlineStr">
        <is>
          <t>TIDAHOLM</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16646-2025</t>
        </is>
      </c>
      <c r="B11803" s="1" t="n">
        <v>45754.38363425926</v>
      </c>
      <c r="C11803" s="1" t="n">
        <v>46011</v>
      </c>
      <c r="D11803" t="inlineStr">
        <is>
          <t>VÄSTRA GÖTALANDS LÄN</t>
        </is>
      </c>
      <c r="E11803" t="inlineStr">
        <is>
          <t>TANUM</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16709-2025</t>
        </is>
      </c>
      <c r="B11804" s="1" t="n">
        <v>45754.47859953704</v>
      </c>
      <c r="C11804" s="1" t="n">
        <v>46011</v>
      </c>
      <c r="D11804" t="inlineStr">
        <is>
          <t>VÄSTRA GÖTALANDS LÄN</t>
        </is>
      </c>
      <c r="E11804" t="inlineStr">
        <is>
          <t>GULLSPÅNG</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32703-2023</t>
        </is>
      </c>
      <c r="B11805" s="1" t="n">
        <v>45121</v>
      </c>
      <c r="C11805" s="1" t="n">
        <v>46011</v>
      </c>
      <c r="D11805" t="inlineStr">
        <is>
          <t>VÄSTRA GÖTALANDS LÄN</t>
        </is>
      </c>
      <c r="E11805" t="inlineStr">
        <is>
          <t>BENGTSFORS</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23862-2022</t>
        </is>
      </c>
      <c r="B11806" s="1" t="n">
        <v>44722.551875</v>
      </c>
      <c r="C11806" s="1" t="n">
        <v>46011</v>
      </c>
      <c r="D11806" t="inlineStr">
        <is>
          <t>VÄSTRA GÖTALANDS LÄN</t>
        </is>
      </c>
      <c r="E11806" t="inlineStr">
        <is>
          <t>VÄNERSBORG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23353-2022</t>
        </is>
      </c>
      <c r="B11807" s="1" t="n">
        <v>44720</v>
      </c>
      <c r="C11807" s="1" t="n">
        <v>46011</v>
      </c>
      <c r="D11807" t="inlineStr">
        <is>
          <t>VÄSTRA GÖTALANDS LÄN</t>
        </is>
      </c>
      <c r="E11807" t="inlineStr">
        <is>
          <t>TIDAHOLM</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47092-2023</t>
        </is>
      </c>
      <c r="B11808" s="1" t="n">
        <v>45201</v>
      </c>
      <c r="C11808" s="1" t="n">
        <v>46011</v>
      </c>
      <c r="D11808" t="inlineStr">
        <is>
          <t>VÄSTRA GÖTALANDS LÄN</t>
        </is>
      </c>
      <c r="E11808" t="inlineStr">
        <is>
          <t>DALS-ED</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4457-2021</t>
        </is>
      </c>
      <c r="B11809" s="1" t="n">
        <v>44224</v>
      </c>
      <c r="C11809" s="1" t="n">
        <v>46011</v>
      </c>
      <c r="D11809" t="inlineStr">
        <is>
          <t>VÄSTRA GÖTALANDS LÄN</t>
        </is>
      </c>
      <c r="E11809" t="inlineStr">
        <is>
          <t>SVENLJUNGA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4559-2021</t>
        </is>
      </c>
      <c r="B11810" s="1" t="n">
        <v>44224</v>
      </c>
      <c r="C11810" s="1" t="n">
        <v>46011</v>
      </c>
      <c r="D11810" t="inlineStr">
        <is>
          <t>VÄSTRA GÖTALANDS LÄN</t>
        </is>
      </c>
      <c r="E11810" t="inlineStr">
        <is>
          <t>FÄRGELANDA</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28965-2022</t>
        </is>
      </c>
      <c r="B11811" s="1" t="n">
        <v>44749</v>
      </c>
      <c r="C11811" s="1" t="n">
        <v>46011</v>
      </c>
      <c r="D11811" t="inlineStr">
        <is>
          <t>VÄSTRA GÖTALANDS LÄN</t>
        </is>
      </c>
      <c r="E11811" t="inlineStr">
        <is>
          <t>TÖREBODA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28803-2022</t>
        </is>
      </c>
      <c r="B11812" s="1" t="n">
        <v>44749.42851851852</v>
      </c>
      <c r="C11812" s="1" t="n">
        <v>46011</v>
      </c>
      <c r="D11812" t="inlineStr">
        <is>
          <t>VÄSTRA GÖTALANDS LÄN</t>
        </is>
      </c>
      <c r="E11812" t="inlineStr">
        <is>
          <t>FÄRGELANDA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14269-2022</t>
        </is>
      </c>
      <c r="B11813" s="1" t="n">
        <v>44651.87236111111</v>
      </c>
      <c r="C11813" s="1" t="n">
        <v>46011</v>
      </c>
      <c r="D11813" t="inlineStr">
        <is>
          <t>VÄSTRA GÖTALANDS LÄN</t>
        </is>
      </c>
      <c r="E11813" t="inlineStr">
        <is>
          <t>TANUM</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40169-2023</t>
        </is>
      </c>
      <c r="B11814" s="1" t="n">
        <v>45169</v>
      </c>
      <c r="C11814" s="1" t="n">
        <v>46011</v>
      </c>
      <c r="D11814" t="inlineStr">
        <is>
          <t>VÄSTRA GÖTALANDS LÄN</t>
        </is>
      </c>
      <c r="E11814" t="inlineStr">
        <is>
          <t>TRANEMO</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46312-2023</t>
        </is>
      </c>
      <c r="B11815" s="1" t="n">
        <v>45197.36021990741</v>
      </c>
      <c r="C11815" s="1" t="n">
        <v>46011</v>
      </c>
      <c r="D11815" t="inlineStr">
        <is>
          <t>VÄSTRA GÖTALANDS LÄN</t>
        </is>
      </c>
      <c r="E11815" t="inlineStr">
        <is>
          <t>FALKÖPING</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59191-2023</t>
        </is>
      </c>
      <c r="B11816" s="1" t="n">
        <v>45251</v>
      </c>
      <c r="C11816" s="1" t="n">
        <v>46011</v>
      </c>
      <c r="D11816" t="inlineStr">
        <is>
          <t>VÄSTRA GÖTALANDS LÄN</t>
        </is>
      </c>
      <c r="E11816" t="inlineStr">
        <is>
          <t>GULLSPÅNG</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40650-2022</t>
        </is>
      </c>
      <c r="B11817" s="1" t="n">
        <v>44824.34364583333</v>
      </c>
      <c r="C11817" s="1" t="n">
        <v>46011</v>
      </c>
      <c r="D11817" t="inlineStr">
        <is>
          <t>VÄSTRA GÖTALANDS LÄN</t>
        </is>
      </c>
      <c r="E11817" t="inlineStr">
        <is>
          <t>ULRICEHAMN</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40721-2022</t>
        </is>
      </c>
      <c r="B11818" s="1" t="n">
        <v>44824.50174768519</v>
      </c>
      <c r="C11818" s="1" t="n">
        <v>46011</v>
      </c>
      <c r="D11818" t="inlineStr">
        <is>
          <t>VÄSTRA GÖTALANDS LÄN</t>
        </is>
      </c>
      <c r="E11818" t="inlineStr">
        <is>
          <t>VÄNERSBORG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4233-2021</t>
        </is>
      </c>
      <c r="B11819" s="1" t="n">
        <v>44223</v>
      </c>
      <c r="C11819" s="1" t="n">
        <v>46011</v>
      </c>
      <c r="D11819" t="inlineStr">
        <is>
          <t>VÄSTRA GÖTALANDS LÄN</t>
        </is>
      </c>
      <c r="E11819" t="inlineStr">
        <is>
          <t>STENUNGSUND</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47900-2023</t>
        </is>
      </c>
      <c r="B11820" s="1" t="n">
        <v>45204</v>
      </c>
      <c r="C11820" s="1" t="n">
        <v>46011</v>
      </c>
      <c r="D11820" t="inlineStr">
        <is>
          <t>VÄSTRA GÖTALANDS LÄN</t>
        </is>
      </c>
      <c r="E11820" t="inlineStr">
        <is>
          <t>SKÖVDE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28053-2022</t>
        </is>
      </c>
      <c r="B11821" s="1" t="n">
        <v>44746.41878472222</v>
      </c>
      <c r="C11821" s="1" t="n">
        <v>46011</v>
      </c>
      <c r="D11821" t="inlineStr">
        <is>
          <t>VÄSTRA GÖTALANDS LÄN</t>
        </is>
      </c>
      <c r="E11821" t="inlineStr">
        <is>
          <t>MARIESTAD</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28097-2022</t>
        </is>
      </c>
      <c r="B11822" s="1" t="n">
        <v>44746.47129629629</v>
      </c>
      <c r="C11822" s="1" t="n">
        <v>46011</v>
      </c>
      <c r="D11822" t="inlineStr">
        <is>
          <t>VÄSTRA GÖTALANDS LÄN</t>
        </is>
      </c>
      <c r="E11822" t="inlineStr">
        <is>
          <t>GULLSPÅNG</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23101-2022</t>
        </is>
      </c>
      <c r="B11823" s="1" t="n">
        <v>44719</v>
      </c>
      <c r="C11823" s="1" t="n">
        <v>46011</v>
      </c>
      <c r="D11823" t="inlineStr">
        <is>
          <t>VÄSTRA GÖTALANDS LÄN</t>
        </is>
      </c>
      <c r="E11823" t="inlineStr">
        <is>
          <t>HERRLJUNGA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26345-2024</t>
        </is>
      </c>
      <c r="B11824" s="1" t="n">
        <v>45469.35059027778</v>
      </c>
      <c r="C11824" s="1" t="n">
        <v>46011</v>
      </c>
      <c r="D11824" t="inlineStr">
        <is>
          <t>VÄSTRA GÖTALANDS LÄN</t>
        </is>
      </c>
      <c r="E11824" t="inlineStr">
        <is>
          <t>MARIESTAD</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1082-2024</t>
        </is>
      </c>
      <c r="B11825" s="1" t="n">
        <v>45302.36549768518</v>
      </c>
      <c r="C11825" s="1" t="n">
        <v>46011</v>
      </c>
      <c r="D11825" t="inlineStr">
        <is>
          <t>VÄSTRA GÖTALANDS LÄN</t>
        </is>
      </c>
      <c r="E11825" t="inlineStr">
        <is>
          <t>BORÅS</t>
        </is>
      </c>
      <c r="F11825" t="inlineStr">
        <is>
          <t>Sveaskog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27471-2024</t>
        </is>
      </c>
      <c r="B11826" s="1" t="n">
        <v>45474.46443287037</v>
      </c>
      <c r="C11826" s="1" t="n">
        <v>46011</v>
      </c>
      <c r="D11826" t="inlineStr">
        <is>
          <t>VÄSTRA GÖTALANDS LÄN</t>
        </is>
      </c>
      <c r="E11826" t="inlineStr">
        <is>
          <t>MARK</t>
        </is>
      </c>
      <c r="F11826" t="inlineStr">
        <is>
          <t>Kommuner</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39278-2023</t>
        </is>
      </c>
      <c r="B11827" s="1" t="n">
        <v>45166</v>
      </c>
      <c r="C11827" s="1" t="n">
        <v>46011</v>
      </c>
      <c r="D11827" t="inlineStr">
        <is>
          <t>VÄSTRA GÖTALANDS LÄN</t>
        </is>
      </c>
      <c r="E11827" t="inlineStr">
        <is>
          <t>FALKÖPING</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21168-2022</t>
        </is>
      </c>
      <c r="B11828" s="1" t="n">
        <v>44704</v>
      </c>
      <c r="C11828" s="1" t="n">
        <v>46011</v>
      </c>
      <c r="D11828" t="inlineStr">
        <is>
          <t>VÄSTRA GÖTALANDS LÄN</t>
        </is>
      </c>
      <c r="E11828" t="inlineStr">
        <is>
          <t>BORÅS</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21172-2022</t>
        </is>
      </c>
      <c r="B11829" s="1" t="n">
        <v>44704.71900462963</v>
      </c>
      <c r="C11829" s="1" t="n">
        <v>46011</v>
      </c>
      <c r="D11829" t="inlineStr">
        <is>
          <t>VÄSTRA GÖTALANDS LÄN</t>
        </is>
      </c>
      <c r="E11829" t="inlineStr">
        <is>
          <t>BENGTSFORS</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47233-2022</t>
        </is>
      </c>
      <c r="B11830" s="1" t="n">
        <v>44852</v>
      </c>
      <c r="C11830" s="1" t="n">
        <v>46011</v>
      </c>
      <c r="D11830" t="inlineStr">
        <is>
          <t>VÄSTRA GÖTALANDS LÄN</t>
        </is>
      </c>
      <c r="E11830" t="inlineStr">
        <is>
          <t>ALINGSÅS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33991-2023</t>
        </is>
      </c>
      <c r="B11831" s="1" t="n">
        <v>45134.90613425926</v>
      </c>
      <c r="C11831" s="1" t="n">
        <v>46011</v>
      </c>
      <c r="D11831" t="inlineStr">
        <is>
          <t>VÄSTRA GÖTALANDS LÄN</t>
        </is>
      </c>
      <c r="E11831" t="inlineStr">
        <is>
          <t>LILLA EDET</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16621-2025</t>
        </is>
      </c>
      <c r="B11832" s="1" t="n">
        <v>45754.32112268519</v>
      </c>
      <c r="C11832" s="1" t="n">
        <v>46011</v>
      </c>
      <c r="D11832" t="inlineStr">
        <is>
          <t>VÄSTRA GÖTALANDS LÄN</t>
        </is>
      </c>
      <c r="E11832" t="inlineStr">
        <is>
          <t>SKÖVDE</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17193-2025</t>
        </is>
      </c>
      <c r="B11833" s="1" t="n">
        <v>45756.39622685185</v>
      </c>
      <c r="C11833" s="1" t="n">
        <v>46011</v>
      </c>
      <c r="D11833" t="inlineStr">
        <is>
          <t>VÄSTRA GÖTALANDS LÄN</t>
        </is>
      </c>
      <c r="E11833" t="inlineStr">
        <is>
          <t>TANUM</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28201-2021</t>
        </is>
      </c>
      <c r="B11834" s="1" t="n">
        <v>44355.6369675926</v>
      </c>
      <c r="C11834" s="1" t="n">
        <v>46011</v>
      </c>
      <c r="D11834" t="inlineStr">
        <is>
          <t>VÄSTRA GÖTALANDS LÄN</t>
        </is>
      </c>
      <c r="E11834" t="inlineStr">
        <is>
          <t>BOLLEBYGD</t>
        </is>
      </c>
      <c r="G11834" t="n">
        <v>10.5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28320-2021</t>
        </is>
      </c>
      <c r="B11835" s="1" t="n">
        <v>44356.34621527778</v>
      </c>
      <c r="C11835" s="1" t="n">
        <v>46011</v>
      </c>
      <c r="D11835" t="inlineStr">
        <is>
          <t>VÄSTRA GÖTALANDS LÄN</t>
        </is>
      </c>
      <c r="E11835" t="inlineStr">
        <is>
          <t>BENGTSFORS</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64438-2023</t>
        </is>
      </c>
      <c r="B11836" s="1" t="n">
        <v>45280.68280092593</v>
      </c>
      <c r="C11836" s="1" t="n">
        <v>46011</v>
      </c>
      <c r="D11836" t="inlineStr">
        <is>
          <t>VÄSTRA GÖTALANDS LÄN</t>
        </is>
      </c>
      <c r="E11836" t="inlineStr">
        <is>
          <t>TIBRO</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10415-2025</t>
        </is>
      </c>
      <c r="B11837" s="1" t="n">
        <v>45720.63358796296</v>
      </c>
      <c r="C11837" s="1" t="n">
        <v>46011</v>
      </c>
      <c r="D11837" t="inlineStr">
        <is>
          <t>VÄSTRA GÖTALANDS LÄN</t>
        </is>
      </c>
      <c r="E11837" t="inlineStr">
        <is>
          <t>KARLSBORG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23070-2022</t>
        </is>
      </c>
      <c r="B11838" s="1" t="n">
        <v>44719.45615740741</v>
      </c>
      <c r="C11838" s="1" t="n">
        <v>46011</v>
      </c>
      <c r="D11838" t="inlineStr">
        <is>
          <t>VÄSTRA GÖTALANDS LÄN</t>
        </is>
      </c>
      <c r="E11838" t="inlineStr">
        <is>
          <t>STENUNGSUND</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10431-2025</t>
        </is>
      </c>
      <c r="B11839" s="1" t="n">
        <v>45720</v>
      </c>
      <c r="C11839" s="1" t="n">
        <v>46011</v>
      </c>
      <c r="D11839" t="inlineStr">
        <is>
          <t>VÄSTRA GÖTALANDS LÄN</t>
        </is>
      </c>
      <c r="E11839" t="inlineStr">
        <is>
          <t>TÖREBODA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18159-2024</t>
        </is>
      </c>
      <c r="B11840" s="1" t="n">
        <v>45420.61472222222</v>
      </c>
      <c r="C11840" s="1" t="n">
        <v>46011</v>
      </c>
      <c r="D11840" t="inlineStr">
        <is>
          <t>VÄSTRA GÖTALANDS LÄN</t>
        </is>
      </c>
      <c r="E11840" t="inlineStr">
        <is>
          <t>ALINGSÅS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6550-2021</t>
        </is>
      </c>
      <c r="B11841" s="1" t="n">
        <v>44236</v>
      </c>
      <c r="C11841" s="1" t="n">
        <v>46011</v>
      </c>
      <c r="D11841" t="inlineStr">
        <is>
          <t>VÄSTRA GÖTALANDS LÄN</t>
        </is>
      </c>
      <c r="E11841" t="inlineStr">
        <is>
          <t>VÄNERSBORG</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1765-2024</t>
        </is>
      </c>
      <c r="B11842" s="1" t="n">
        <v>45307.49578703703</v>
      </c>
      <c r="C11842" s="1" t="n">
        <v>46011</v>
      </c>
      <c r="D11842" t="inlineStr">
        <is>
          <t>VÄSTRA GÖTALANDS LÄN</t>
        </is>
      </c>
      <c r="E11842" t="inlineStr">
        <is>
          <t>BENGTSFORS</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1796-2024</t>
        </is>
      </c>
      <c r="B11843" s="1" t="n">
        <v>45307.58195601852</v>
      </c>
      <c r="C11843" s="1" t="n">
        <v>46011</v>
      </c>
      <c r="D11843" t="inlineStr">
        <is>
          <t>VÄSTRA GÖTALANDS LÄN</t>
        </is>
      </c>
      <c r="E11843" t="inlineStr">
        <is>
          <t>FALKÖPING</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1822-2024</t>
        </is>
      </c>
      <c r="B11844" s="1" t="n">
        <v>45307.6205787037</v>
      </c>
      <c r="C11844" s="1" t="n">
        <v>46011</v>
      </c>
      <c r="D11844" t="inlineStr">
        <is>
          <t>VÄSTRA GÖTALANDS LÄN</t>
        </is>
      </c>
      <c r="E11844" t="inlineStr">
        <is>
          <t>ALE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18188-2024</t>
        </is>
      </c>
      <c r="B11845" s="1" t="n">
        <v>45420.6553587963</v>
      </c>
      <c r="C11845" s="1" t="n">
        <v>46011</v>
      </c>
      <c r="D11845" t="inlineStr">
        <is>
          <t>VÄSTRA GÖTALANDS LÄN</t>
        </is>
      </c>
      <c r="E11845" t="inlineStr">
        <is>
          <t>FÄRGELANDA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54279-2023</t>
        </is>
      </c>
      <c r="B11846" s="1" t="n">
        <v>45232.69478009259</v>
      </c>
      <c r="C11846" s="1" t="n">
        <v>46011</v>
      </c>
      <c r="D11846" t="inlineStr">
        <is>
          <t>VÄSTRA GÖTALANDS LÄN</t>
        </is>
      </c>
      <c r="E11846" t="inlineStr">
        <is>
          <t>LIDKÖPING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50727-2022</t>
        </is>
      </c>
      <c r="B11847" s="1" t="n">
        <v>44867.368125</v>
      </c>
      <c r="C11847" s="1" t="n">
        <v>46011</v>
      </c>
      <c r="D11847" t="inlineStr">
        <is>
          <t>VÄSTRA GÖTALANDS LÄN</t>
        </is>
      </c>
      <c r="E11847" t="inlineStr">
        <is>
          <t>HERRLJUNGA</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9243-2025</t>
        </is>
      </c>
      <c r="B11848" s="1" t="n">
        <v>45714.56596064815</v>
      </c>
      <c r="C11848" s="1" t="n">
        <v>46011</v>
      </c>
      <c r="D11848" t="inlineStr">
        <is>
          <t>VÄSTRA GÖTALANDS LÄN</t>
        </is>
      </c>
      <c r="E11848" t="inlineStr">
        <is>
          <t>GULLSPÅNG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9247-2025</t>
        </is>
      </c>
      <c r="B11849" s="1" t="n">
        <v>45714.57979166666</v>
      </c>
      <c r="C11849" s="1" t="n">
        <v>46011</v>
      </c>
      <c r="D11849" t="inlineStr">
        <is>
          <t>VÄSTRA GÖTALANDS LÄN</t>
        </is>
      </c>
      <c r="E11849" t="inlineStr">
        <is>
          <t>TIDAHOLM</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34331-2022</t>
        </is>
      </c>
      <c r="B11850" s="1" t="n">
        <v>44792</v>
      </c>
      <c r="C11850" s="1" t="n">
        <v>46011</v>
      </c>
      <c r="D11850" t="inlineStr">
        <is>
          <t>VÄSTRA GÖTALANDS LÄN</t>
        </is>
      </c>
      <c r="E11850" t="inlineStr">
        <is>
          <t>TANUM</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54792-2023</t>
        </is>
      </c>
      <c r="B11851" s="1" t="n">
        <v>45236</v>
      </c>
      <c r="C11851" s="1" t="n">
        <v>46011</v>
      </c>
      <c r="D11851" t="inlineStr">
        <is>
          <t>VÄSTRA GÖTALANDS LÄN</t>
        </is>
      </c>
      <c r="E11851" t="inlineStr">
        <is>
          <t>STRÖMSTAD</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22984-2021</t>
        </is>
      </c>
      <c r="B11852" s="1" t="n">
        <v>44327</v>
      </c>
      <c r="C11852" s="1" t="n">
        <v>46011</v>
      </c>
      <c r="D11852" t="inlineStr">
        <is>
          <t>VÄSTRA GÖTALANDS LÄN</t>
        </is>
      </c>
      <c r="E11852" t="inlineStr">
        <is>
          <t>TRANEMO</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10231-2025</t>
        </is>
      </c>
      <c r="B11853" s="1" t="n">
        <v>45720.32884259259</v>
      </c>
      <c r="C11853" s="1" t="n">
        <v>46011</v>
      </c>
      <c r="D11853" t="inlineStr">
        <is>
          <t>VÄSTRA GÖTALANDS LÄN</t>
        </is>
      </c>
      <c r="E11853" t="inlineStr">
        <is>
          <t>TRANEMO</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2027-2024</t>
        </is>
      </c>
      <c r="B11854" s="1" t="n">
        <v>45308.76016203704</v>
      </c>
      <c r="C11854" s="1" t="n">
        <v>46011</v>
      </c>
      <c r="D11854" t="inlineStr">
        <is>
          <t>VÄSTRA GÖTALANDS LÄN</t>
        </is>
      </c>
      <c r="E11854" t="inlineStr">
        <is>
          <t>TRANEMO</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60413-2024</t>
        </is>
      </c>
      <c r="B11855" s="1" t="n">
        <v>45643.51706018519</v>
      </c>
      <c r="C11855" s="1" t="n">
        <v>46011</v>
      </c>
      <c r="D11855" t="inlineStr">
        <is>
          <t>VÄSTRA GÖTALANDS LÄN</t>
        </is>
      </c>
      <c r="E11855" t="inlineStr">
        <is>
          <t>HJO</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44796-2022</t>
        </is>
      </c>
      <c r="B11856" s="1" t="n">
        <v>44841</v>
      </c>
      <c r="C11856" s="1" t="n">
        <v>46011</v>
      </c>
      <c r="D11856" t="inlineStr">
        <is>
          <t>VÄSTRA GÖTALANDS LÄN</t>
        </is>
      </c>
      <c r="E11856" t="inlineStr">
        <is>
          <t>FÄRGELANDA</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28629-2022</t>
        </is>
      </c>
      <c r="B11857" s="1" t="n">
        <v>44748.5990625</v>
      </c>
      <c r="C11857" s="1" t="n">
        <v>46011</v>
      </c>
      <c r="D11857" t="inlineStr">
        <is>
          <t>VÄSTRA GÖTALANDS LÄN</t>
        </is>
      </c>
      <c r="E11857" t="inlineStr">
        <is>
          <t>TRANEMO</t>
        </is>
      </c>
      <c r="F11857" t="inlineStr">
        <is>
          <t>Kommuner</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61281-2024</t>
        </is>
      </c>
      <c r="B11858" s="1" t="n">
        <v>45645.78270833333</v>
      </c>
      <c r="C11858" s="1" t="n">
        <v>46011</v>
      </c>
      <c r="D11858" t="inlineStr">
        <is>
          <t>VÄSTRA GÖTALANDS LÄN</t>
        </is>
      </c>
      <c r="E11858" t="inlineStr">
        <is>
          <t>TÖREBODA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63419-2023</t>
        </is>
      </c>
      <c r="B11859" s="1" t="n">
        <v>45274</v>
      </c>
      <c r="C11859" s="1" t="n">
        <v>46011</v>
      </c>
      <c r="D11859" t="inlineStr">
        <is>
          <t>VÄSTRA GÖTALANDS LÄN</t>
        </is>
      </c>
      <c r="E11859" t="inlineStr">
        <is>
          <t>ORUST</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63476-2023</t>
        </is>
      </c>
      <c r="B11860" s="1" t="n">
        <v>45274</v>
      </c>
      <c r="C11860" s="1" t="n">
        <v>46011</v>
      </c>
      <c r="D11860" t="inlineStr">
        <is>
          <t>VÄSTRA GÖTALANDS LÄN</t>
        </is>
      </c>
      <c r="E11860" t="inlineStr">
        <is>
          <t>SVENLJUNGA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57923-2023</t>
        </is>
      </c>
      <c r="B11861" s="1" t="n">
        <v>45244</v>
      </c>
      <c r="C11861" s="1" t="n">
        <v>46011</v>
      </c>
      <c r="D11861" t="inlineStr">
        <is>
          <t>VÄSTRA GÖTALANDS LÄN</t>
        </is>
      </c>
      <c r="E11861" t="inlineStr">
        <is>
          <t>FALKÖPING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18003-2025</t>
        </is>
      </c>
      <c r="B11862" s="1" t="n">
        <v>45761.41628472223</v>
      </c>
      <c r="C11862" s="1" t="n">
        <v>46011</v>
      </c>
      <c r="D11862" t="inlineStr">
        <is>
          <t>VÄSTRA GÖTALANDS LÄN</t>
        </is>
      </c>
      <c r="E11862" t="inlineStr">
        <is>
          <t>HÄRRYDA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18013-2025</t>
        </is>
      </c>
      <c r="B11863" s="1" t="n">
        <v>45761.43445601852</v>
      </c>
      <c r="C11863" s="1" t="n">
        <v>46011</v>
      </c>
      <c r="D11863" t="inlineStr">
        <is>
          <t>VÄSTRA GÖTALANDS LÄN</t>
        </is>
      </c>
      <c r="E11863" t="inlineStr">
        <is>
          <t>TRANEMO</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18016-2025</t>
        </is>
      </c>
      <c r="B11864" s="1" t="n">
        <v>45761.44023148148</v>
      </c>
      <c r="C11864" s="1" t="n">
        <v>46011</v>
      </c>
      <c r="D11864" t="inlineStr">
        <is>
          <t>VÄSTRA GÖTALANDS LÄN</t>
        </is>
      </c>
      <c r="E11864" t="inlineStr">
        <is>
          <t>TRANEMO</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16532-2025</t>
        </is>
      </c>
      <c r="B11865" s="1" t="n">
        <v>45751.6478587963</v>
      </c>
      <c r="C11865" s="1" t="n">
        <v>46011</v>
      </c>
      <c r="D11865" t="inlineStr">
        <is>
          <t>VÄSTRA GÖTALANDS LÄN</t>
        </is>
      </c>
      <c r="E11865" t="inlineStr">
        <is>
          <t>TRANEMO</t>
        </is>
      </c>
      <c r="F11865" t="inlineStr">
        <is>
          <t>Sveaskog</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59047-2023</t>
        </is>
      </c>
      <c r="B11866" s="1" t="n">
        <v>45252.73967592593</v>
      </c>
      <c r="C11866" s="1" t="n">
        <v>46011</v>
      </c>
      <c r="D11866" t="inlineStr">
        <is>
          <t>VÄSTRA GÖTALANDS LÄN</t>
        </is>
      </c>
      <c r="E11866" t="inlineStr">
        <is>
          <t>KARLSBORG</t>
        </is>
      </c>
      <c r="F11866" t="inlineStr">
        <is>
          <t>Övriga Aktiebolag</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16538-2025</t>
        </is>
      </c>
      <c r="B11867" s="1" t="n">
        <v>45751.66126157407</v>
      </c>
      <c r="C11867" s="1" t="n">
        <v>46011</v>
      </c>
      <c r="D11867" t="inlineStr">
        <is>
          <t>VÄSTRA GÖTALANDS LÄN</t>
        </is>
      </c>
      <c r="E11867" t="inlineStr">
        <is>
          <t>KUNGÄLV</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35465-2022</t>
        </is>
      </c>
      <c r="B11868" s="1" t="n">
        <v>44798</v>
      </c>
      <c r="C11868" s="1" t="n">
        <v>46011</v>
      </c>
      <c r="D11868" t="inlineStr">
        <is>
          <t>VÄSTRA GÖTALANDS LÄN</t>
        </is>
      </c>
      <c r="E11868" t="inlineStr">
        <is>
          <t>TROLLHÄTTAN</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15952-2025</t>
        </is>
      </c>
      <c r="B11869" s="1" t="n">
        <v>45749.50174768519</v>
      </c>
      <c r="C11869" s="1" t="n">
        <v>46011</v>
      </c>
      <c r="D11869" t="inlineStr">
        <is>
          <t>VÄSTRA GÖTALANDS LÄN</t>
        </is>
      </c>
      <c r="E11869" t="inlineStr">
        <is>
          <t>SKÖVDE</t>
        </is>
      </c>
      <c r="F11869" t="inlineStr">
        <is>
          <t>Kommuner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15966-2025</t>
        </is>
      </c>
      <c r="B11870" s="1" t="n">
        <v>45749.54398148148</v>
      </c>
      <c r="C11870" s="1" t="n">
        <v>46011</v>
      </c>
      <c r="D11870" t="inlineStr">
        <is>
          <t>VÄSTRA GÖTALANDS LÄN</t>
        </is>
      </c>
      <c r="E11870" t="inlineStr">
        <is>
          <t>BORÅS</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15969-2025</t>
        </is>
      </c>
      <c r="B11871" s="1" t="n">
        <v>45749.54825231482</v>
      </c>
      <c r="C11871" s="1" t="n">
        <v>46011</v>
      </c>
      <c r="D11871" t="inlineStr">
        <is>
          <t>VÄSTRA GÖTALANDS LÄN</t>
        </is>
      </c>
      <c r="E11871" t="inlineStr">
        <is>
          <t>BOLLEBYGD</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16105-2025</t>
        </is>
      </c>
      <c r="B11872" s="1" t="n">
        <v>45750.3245949074</v>
      </c>
      <c r="C11872" s="1" t="n">
        <v>46011</v>
      </c>
      <c r="D11872" t="inlineStr">
        <is>
          <t>VÄSTRA GÖTALANDS LÄN</t>
        </is>
      </c>
      <c r="E11872" t="inlineStr">
        <is>
          <t>MUNKEDAL</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2792-2024</t>
        </is>
      </c>
      <c r="B11873" s="1" t="n">
        <v>45314.66091435185</v>
      </c>
      <c r="C11873" s="1" t="n">
        <v>46011</v>
      </c>
      <c r="D11873" t="inlineStr">
        <is>
          <t>VÄSTRA GÖTALANDS LÄN</t>
        </is>
      </c>
      <c r="E11873" t="inlineStr">
        <is>
          <t>MUNKEDAL</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55806-2023</t>
        </is>
      </c>
      <c r="B11874" s="1" t="n">
        <v>45239</v>
      </c>
      <c r="C11874" s="1" t="n">
        <v>46011</v>
      </c>
      <c r="D11874" t="inlineStr">
        <is>
          <t>VÄSTRA GÖTALANDS LÄN</t>
        </is>
      </c>
      <c r="E11874" t="inlineStr">
        <is>
          <t>BORÅS</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65080-2023</t>
        </is>
      </c>
      <c r="B11875" s="1" t="n">
        <v>45287</v>
      </c>
      <c r="C11875" s="1" t="n">
        <v>46011</v>
      </c>
      <c r="D11875" t="inlineStr">
        <is>
          <t>VÄSTRA GÖTALANDS LÄN</t>
        </is>
      </c>
      <c r="E11875" t="inlineStr">
        <is>
          <t>HÄRRYDA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65116-2023</t>
        </is>
      </c>
      <c r="B11876" s="1" t="n">
        <v>45287</v>
      </c>
      <c r="C11876" s="1" t="n">
        <v>46011</v>
      </c>
      <c r="D11876" t="inlineStr">
        <is>
          <t>VÄSTRA GÖTALANDS LÄN</t>
        </is>
      </c>
      <c r="E11876" t="inlineStr">
        <is>
          <t>TROLLHÄTTAN</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15802-2025</t>
        </is>
      </c>
      <c r="B11877" s="1" t="n">
        <v>45748.65071759259</v>
      </c>
      <c r="C11877" s="1" t="n">
        <v>46011</v>
      </c>
      <c r="D11877" t="inlineStr">
        <is>
          <t>VÄSTRA GÖTALANDS LÄN</t>
        </is>
      </c>
      <c r="E11877" t="inlineStr">
        <is>
          <t>ALINGSÅS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1396-2024</t>
        </is>
      </c>
      <c r="B11878" s="1" t="n">
        <v>45303.58416666667</v>
      </c>
      <c r="C11878" s="1" t="n">
        <v>46011</v>
      </c>
      <c r="D11878" t="inlineStr">
        <is>
          <t>VÄSTRA GÖTALANDS LÄN</t>
        </is>
      </c>
      <c r="E11878" t="inlineStr">
        <is>
          <t>TANUM</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1403-2024</t>
        </is>
      </c>
      <c r="B11879" s="1" t="n">
        <v>45303.59265046296</v>
      </c>
      <c r="C11879" s="1" t="n">
        <v>46011</v>
      </c>
      <c r="D11879" t="inlineStr">
        <is>
          <t>VÄSTRA GÖTALANDS LÄN</t>
        </is>
      </c>
      <c r="E11879" t="inlineStr">
        <is>
          <t>HERRLJUNGA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20646-2022</t>
        </is>
      </c>
      <c r="B11880" s="1" t="n">
        <v>44700.61409722222</v>
      </c>
      <c r="C11880" s="1" t="n">
        <v>46011</v>
      </c>
      <c r="D11880" t="inlineStr">
        <is>
          <t>VÄSTRA GÖTALANDS LÄN</t>
        </is>
      </c>
      <c r="E11880" t="inlineStr">
        <is>
          <t>HERRLJUNGA</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6217-2024</t>
        </is>
      </c>
      <c r="B11881" s="1" t="n">
        <v>45337</v>
      </c>
      <c r="C11881" s="1" t="n">
        <v>46011</v>
      </c>
      <c r="D11881" t="inlineStr">
        <is>
          <t>VÄSTRA GÖTALANDS LÄN</t>
        </is>
      </c>
      <c r="E11881" t="inlineStr">
        <is>
          <t>MUNKEDAL</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1413-2024</t>
        </is>
      </c>
      <c r="B11882" s="1" t="n">
        <v>45303.60452546296</v>
      </c>
      <c r="C11882" s="1" t="n">
        <v>46011</v>
      </c>
      <c r="D11882" t="inlineStr">
        <is>
          <t>VÄSTRA GÖTALANDS LÄN</t>
        </is>
      </c>
      <c r="E11882" t="inlineStr">
        <is>
          <t>TANUM</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2337-2021</t>
        </is>
      </c>
      <c r="B11883" s="1" t="n">
        <v>44214</v>
      </c>
      <c r="C11883" s="1" t="n">
        <v>46011</v>
      </c>
      <c r="D11883" t="inlineStr">
        <is>
          <t>VÄSTRA GÖTALANDS LÄN</t>
        </is>
      </c>
      <c r="E11883" t="inlineStr">
        <is>
          <t>GÖTENE</t>
        </is>
      </c>
      <c r="G11883" t="n">
        <v>32.5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22857-2022</t>
        </is>
      </c>
      <c r="B11884" s="1" t="n">
        <v>44715</v>
      </c>
      <c r="C11884" s="1" t="n">
        <v>46011</v>
      </c>
      <c r="D11884" t="inlineStr">
        <is>
          <t>VÄSTRA GÖTALANDS LÄN</t>
        </is>
      </c>
      <c r="E11884" t="inlineStr">
        <is>
          <t>MUNKEDAL</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21836-2022</t>
        </is>
      </c>
      <c r="B11885" s="1" t="n">
        <v>44710.9250462963</v>
      </c>
      <c r="C11885" s="1" t="n">
        <v>46011</v>
      </c>
      <c r="D11885" t="inlineStr">
        <is>
          <t>VÄSTRA GÖTALANDS LÄN</t>
        </is>
      </c>
      <c r="E11885" t="inlineStr">
        <is>
          <t>LERUM</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34116-2023</t>
        </is>
      </c>
      <c r="B11886" s="1" t="n">
        <v>45126</v>
      </c>
      <c r="C11886" s="1" t="n">
        <v>46011</v>
      </c>
      <c r="D11886" t="inlineStr">
        <is>
          <t>VÄSTRA GÖTALANDS LÄN</t>
        </is>
      </c>
      <c r="E11886" t="inlineStr">
        <is>
          <t>MELLERUD</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717-2024</t>
        </is>
      </c>
      <c r="B11887" s="1" t="n">
        <v>45300.4329050926</v>
      </c>
      <c r="C11887" s="1" t="n">
        <v>46011</v>
      </c>
      <c r="D11887" t="inlineStr">
        <is>
          <t>VÄSTRA GÖTALANDS LÄN</t>
        </is>
      </c>
      <c r="E11887" t="inlineStr">
        <is>
          <t>SVENLJUNGA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61756-2023</t>
        </is>
      </c>
      <c r="B11888" s="1" t="n">
        <v>45265.83193287037</v>
      </c>
      <c r="C11888" s="1" t="n">
        <v>46011</v>
      </c>
      <c r="D11888" t="inlineStr">
        <is>
          <t>VÄSTRA GÖTALANDS LÄN</t>
        </is>
      </c>
      <c r="E11888" t="inlineStr">
        <is>
          <t>TIDAHOLM</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61757-2023</t>
        </is>
      </c>
      <c r="B11889" s="1" t="n">
        <v>45265.83298611111</v>
      </c>
      <c r="C11889" s="1" t="n">
        <v>46011</v>
      </c>
      <c r="D11889" t="inlineStr">
        <is>
          <t>VÄSTRA GÖTALANDS LÄN</t>
        </is>
      </c>
      <c r="E11889" t="inlineStr">
        <is>
          <t>TIDAHOLM</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1282-2024</t>
        </is>
      </c>
      <c r="B11890" s="1" t="n">
        <v>45303.02372685185</v>
      </c>
      <c r="C11890" s="1" t="n">
        <v>46011</v>
      </c>
      <c r="D11890" t="inlineStr">
        <is>
          <t>VÄSTRA GÖTALANDS LÄN</t>
        </is>
      </c>
      <c r="E11890" t="inlineStr">
        <is>
          <t>ÅMÅL</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1293-2024</t>
        </is>
      </c>
      <c r="B11891" s="1" t="n">
        <v>45303.34233796296</v>
      </c>
      <c r="C11891" s="1" t="n">
        <v>46011</v>
      </c>
      <c r="D11891" t="inlineStr">
        <is>
          <t>VÄSTRA GÖTALANDS LÄN</t>
        </is>
      </c>
      <c r="E11891" t="inlineStr">
        <is>
          <t>UDDEVALLA</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24218-2022</t>
        </is>
      </c>
      <c r="B11892" s="1" t="n">
        <v>44725</v>
      </c>
      <c r="C11892" s="1" t="n">
        <v>46011</v>
      </c>
      <c r="D11892" t="inlineStr">
        <is>
          <t>VÄSTRA GÖTALANDS LÄN</t>
        </is>
      </c>
      <c r="E11892" t="inlineStr">
        <is>
          <t>TRANEMO</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2875-2024</t>
        </is>
      </c>
      <c r="B11893" s="1" t="n">
        <v>45315.46555555556</v>
      </c>
      <c r="C11893" s="1" t="n">
        <v>46011</v>
      </c>
      <c r="D11893" t="inlineStr">
        <is>
          <t>VÄSTRA GÖTALANDS LÄN</t>
        </is>
      </c>
      <c r="E11893" t="inlineStr">
        <is>
          <t>BORÅS</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2878-2024</t>
        </is>
      </c>
      <c r="B11894" s="1" t="n">
        <v>45315</v>
      </c>
      <c r="C11894" s="1" t="n">
        <v>46011</v>
      </c>
      <c r="D11894" t="inlineStr">
        <is>
          <t>VÄSTRA GÖTALANDS LÄN</t>
        </is>
      </c>
      <c r="E11894" t="inlineStr">
        <is>
          <t>TRANEMO</t>
        </is>
      </c>
      <c r="G11894" t="n">
        <v>6.9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37000-2023</t>
        </is>
      </c>
      <c r="B11895" s="1" t="n">
        <v>45155.26925925926</v>
      </c>
      <c r="C11895" s="1" t="n">
        <v>46011</v>
      </c>
      <c r="D11895" t="inlineStr">
        <is>
          <t>VÄSTRA GÖTALANDS LÄN</t>
        </is>
      </c>
      <c r="E11895" t="inlineStr">
        <is>
          <t>ORUST</t>
        </is>
      </c>
      <c r="G11895" t="n">
        <v>10.7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37069-2023</t>
        </is>
      </c>
      <c r="B11896" s="1" t="n">
        <v>45154</v>
      </c>
      <c r="C11896" s="1" t="n">
        <v>46011</v>
      </c>
      <c r="D11896" t="inlineStr">
        <is>
          <t>VÄSTRA GÖTALANDS LÄN</t>
        </is>
      </c>
      <c r="E11896" t="inlineStr">
        <is>
          <t>TANUM</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64794-2023</t>
        </is>
      </c>
      <c r="B11897" s="1" t="n">
        <v>45282.36902777778</v>
      </c>
      <c r="C11897" s="1" t="n">
        <v>46011</v>
      </c>
      <c r="D11897" t="inlineStr">
        <is>
          <t>VÄSTRA GÖTALANDS LÄN</t>
        </is>
      </c>
      <c r="E11897" t="inlineStr">
        <is>
          <t>ULRICEHAMN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40372-2022</t>
        </is>
      </c>
      <c r="B11898" s="1" t="n">
        <v>44823</v>
      </c>
      <c r="C11898" s="1" t="n">
        <v>46011</v>
      </c>
      <c r="D11898" t="inlineStr">
        <is>
          <t>VÄSTRA GÖTALANDS LÄN</t>
        </is>
      </c>
      <c r="E11898" t="inlineStr">
        <is>
          <t>DALS-ED</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39643-2023</t>
        </is>
      </c>
      <c r="B11899" s="1" t="n">
        <v>45167.54377314815</v>
      </c>
      <c r="C11899" s="1" t="n">
        <v>46011</v>
      </c>
      <c r="D11899" t="inlineStr">
        <is>
          <t>VÄSTRA GÖTALANDS LÄN</t>
        </is>
      </c>
      <c r="E11899" t="inlineStr">
        <is>
          <t>SVENLJUNGA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21552-2022</t>
        </is>
      </c>
      <c r="B11900" s="1" t="n">
        <v>44706.56496527778</v>
      </c>
      <c r="C11900" s="1" t="n">
        <v>46011</v>
      </c>
      <c r="D11900" t="inlineStr">
        <is>
          <t>VÄSTRA GÖTALANDS LÄN</t>
        </is>
      </c>
      <c r="E11900" t="inlineStr">
        <is>
          <t>BENGTSFORS</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63664-2023</t>
        </is>
      </c>
      <c r="B11901" s="1" t="n">
        <v>45275.62074074074</v>
      </c>
      <c r="C11901" s="1" t="n">
        <v>46011</v>
      </c>
      <c r="D11901" t="inlineStr">
        <is>
          <t>VÄSTRA GÖTALANDS LÄN</t>
        </is>
      </c>
      <c r="E11901" t="inlineStr">
        <is>
          <t>TJÖRN</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44463-2023</t>
        </is>
      </c>
      <c r="B11902" s="1" t="n">
        <v>45189</v>
      </c>
      <c r="C11902" s="1" t="n">
        <v>46011</v>
      </c>
      <c r="D11902" t="inlineStr">
        <is>
          <t>VÄSTRA GÖTALANDS LÄN</t>
        </is>
      </c>
      <c r="E11902" t="inlineStr">
        <is>
          <t>ULRICEHAMN</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15241-2025</t>
        </is>
      </c>
      <c r="B11903" s="1" t="n">
        <v>45744.61255787037</v>
      </c>
      <c r="C11903" s="1" t="n">
        <v>46011</v>
      </c>
      <c r="D11903" t="inlineStr">
        <is>
          <t>VÄSTRA GÖTALANDS LÄN</t>
        </is>
      </c>
      <c r="E11903" t="inlineStr">
        <is>
          <t>ALE</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43645-2023</t>
        </is>
      </c>
      <c r="B11904" s="1" t="n">
        <v>45186.96988425926</v>
      </c>
      <c r="C11904" s="1" t="n">
        <v>46011</v>
      </c>
      <c r="D11904" t="inlineStr">
        <is>
          <t>VÄSTRA GÖTALANDS LÄN</t>
        </is>
      </c>
      <c r="E11904" t="inlineStr">
        <is>
          <t>BORÅS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55448-2023</t>
        </is>
      </c>
      <c r="B11905" s="1" t="n">
        <v>45231</v>
      </c>
      <c r="C11905" s="1" t="n">
        <v>46011</v>
      </c>
      <c r="D11905" t="inlineStr">
        <is>
          <t>VÄSTRA GÖTALANDS LÄN</t>
        </is>
      </c>
      <c r="E11905" t="inlineStr">
        <is>
          <t>ULRICEHAMN</t>
        </is>
      </c>
      <c r="G11905" t="n">
        <v>14.7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52041-2023</t>
        </is>
      </c>
      <c r="B11906" s="1" t="n">
        <v>45223</v>
      </c>
      <c r="C11906" s="1" t="n">
        <v>46011</v>
      </c>
      <c r="D11906" t="inlineStr">
        <is>
          <t>VÄSTRA GÖTALANDS LÄN</t>
        </is>
      </c>
      <c r="E11906" t="inlineStr">
        <is>
          <t>SKARA</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219-2024</t>
        </is>
      </c>
      <c r="B11907" s="1" t="n">
        <v>45293</v>
      </c>
      <c r="C11907" s="1" t="n">
        <v>46011</v>
      </c>
      <c r="D11907" t="inlineStr">
        <is>
          <t>VÄSTRA GÖTALANDS LÄN</t>
        </is>
      </c>
      <c r="E11907" t="inlineStr">
        <is>
          <t>MUNKEDAL</t>
        </is>
      </c>
      <c r="F11907" t="inlineStr">
        <is>
          <t>Övriga Aktiebolag</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54365-2023</t>
        </is>
      </c>
      <c r="B11908" s="1" t="n">
        <v>45233</v>
      </c>
      <c r="C11908" s="1" t="n">
        <v>46011</v>
      </c>
      <c r="D11908" t="inlineStr">
        <is>
          <t>VÄSTRA GÖTALANDS LÄN</t>
        </is>
      </c>
      <c r="E11908" t="inlineStr">
        <is>
          <t>BORÅS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7212-2025</t>
        </is>
      </c>
      <c r="B11909" s="1" t="n">
        <v>45702</v>
      </c>
      <c r="C11909" s="1" t="n">
        <v>46011</v>
      </c>
      <c r="D11909" t="inlineStr">
        <is>
          <t>VÄSTRA GÖTALANDS LÄN</t>
        </is>
      </c>
      <c r="E11909" t="inlineStr">
        <is>
          <t>LIDKÖPING</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57566-2023</t>
        </is>
      </c>
      <c r="B11910" s="1" t="n">
        <v>45246.4997337963</v>
      </c>
      <c r="C11910" s="1" t="n">
        <v>46011</v>
      </c>
      <c r="D11910" t="inlineStr">
        <is>
          <t>VÄSTRA GÖTALANDS LÄN</t>
        </is>
      </c>
      <c r="E11910" t="inlineStr">
        <is>
          <t>TANUM</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17787-2025</t>
        </is>
      </c>
      <c r="B11911" s="1" t="n">
        <v>45758.5375462963</v>
      </c>
      <c r="C11911" s="1" t="n">
        <v>46011</v>
      </c>
      <c r="D11911" t="inlineStr">
        <is>
          <t>VÄSTRA GÖTALANDS LÄN</t>
        </is>
      </c>
      <c r="E11911" t="inlineStr">
        <is>
          <t>BENGTSFORS</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17477-2024</t>
        </is>
      </c>
      <c r="B11912" s="1" t="n">
        <v>45415.4722800926</v>
      </c>
      <c r="C11912" s="1" t="n">
        <v>46011</v>
      </c>
      <c r="D11912" t="inlineStr">
        <is>
          <t>VÄSTRA GÖTALANDS LÄN</t>
        </is>
      </c>
      <c r="E11912" t="inlineStr">
        <is>
          <t>BENGTSFORS</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49893-2022</t>
        </is>
      </c>
      <c r="B11913" s="1" t="n">
        <v>44864</v>
      </c>
      <c r="C11913" s="1" t="n">
        <v>46011</v>
      </c>
      <c r="D11913" t="inlineStr">
        <is>
          <t>VÄSTRA GÖTALANDS LÄN</t>
        </is>
      </c>
      <c r="E11913" t="inlineStr">
        <is>
          <t>GULLSPÅNG</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17837-2025</t>
        </is>
      </c>
      <c r="B11914" s="1" t="n">
        <v>45758.58627314815</v>
      </c>
      <c r="C11914" s="1" t="n">
        <v>46011</v>
      </c>
      <c r="D11914" t="inlineStr">
        <is>
          <t>VÄSTRA GÖTALANDS LÄN</t>
        </is>
      </c>
      <c r="E11914" t="inlineStr">
        <is>
          <t>BORÅS</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16087-2025</t>
        </is>
      </c>
      <c r="B11915" s="1" t="n">
        <v>45749.82695601852</v>
      </c>
      <c r="C11915" s="1" t="n">
        <v>46011</v>
      </c>
      <c r="D11915" t="inlineStr">
        <is>
          <t>VÄSTRA GÖTALANDS LÄN</t>
        </is>
      </c>
      <c r="E11915" t="inlineStr">
        <is>
          <t>ALINGSÅS</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59613-2023</t>
        </is>
      </c>
      <c r="B11916" s="1" t="n">
        <v>45254.64126157408</v>
      </c>
      <c r="C11916" s="1" t="n">
        <v>46011</v>
      </c>
      <c r="D11916" t="inlineStr">
        <is>
          <t>VÄSTRA GÖTALANDS LÄN</t>
        </is>
      </c>
      <c r="E11916" t="inlineStr">
        <is>
          <t>BOLLEBYGD</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56017-2024</t>
        </is>
      </c>
      <c r="B11917" s="1" t="n">
        <v>45623.88096064814</v>
      </c>
      <c r="C11917" s="1" t="n">
        <v>46011</v>
      </c>
      <c r="D11917" t="inlineStr">
        <is>
          <t>VÄSTRA GÖTALANDS LÄN</t>
        </is>
      </c>
      <c r="E11917" t="inlineStr">
        <is>
          <t>SVENLJUNGA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56025-2024</t>
        </is>
      </c>
      <c r="B11918" s="1" t="n">
        <v>45624.28996527778</v>
      </c>
      <c r="C11918" s="1" t="n">
        <v>46011</v>
      </c>
      <c r="D11918" t="inlineStr">
        <is>
          <t>VÄSTRA GÖTALANDS LÄN</t>
        </is>
      </c>
      <c r="E11918" t="inlineStr">
        <is>
          <t>MELLERUD</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62379-2023</t>
        </is>
      </c>
      <c r="B11919" s="1" t="n">
        <v>45266</v>
      </c>
      <c r="C11919" s="1" t="n">
        <v>46011</v>
      </c>
      <c r="D11919" t="inlineStr">
        <is>
          <t>VÄSTRA GÖTALANDS LÄN</t>
        </is>
      </c>
      <c r="E11919" t="inlineStr">
        <is>
          <t>TROLLHÄTTAN</t>
        </is>
      </c>
      <c r="F11919" t="inlineStr">
        <is>
          <t>Kyrkan</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59625-2023</t>
        </is>
      </c>
      <c r="B11920" s="1" t="n">
        <v>45254</v>
      </c>
      <c r="C11920" s="1" t="n">
        <v>46011</v>
      </c>
      <c r="D11920" t="inlineStr">
        <is>
          <t>VÄSTRA GÖTALANDS LÄN</t>
        </is>
      </c>
      <c r="E11920" t="inlineStr">
        <is>
          <t>TROLLHÄTTAN</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59980-2023</t>
        </is>
      </c>
      <c r="B11921" s="1" t="n">
        <v>45257.78938657408</v>
      </c>
      <c r="C11921" s="1" t="n">
        <v>46011</v>
      </c>
      <c r="D11921" t="inlineStr">
        <is>
          <t>VÄSTRA GÖTALANDS LÄN</t>
        </is>
      </c>
      <c r="E11921" t="inlineStr">
        <is>
          <t>BENGTSFORS</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62446-2023</t>
        </is>
      </c>
      <c r="B11922" s="1" t="n">
        <v>45268.47841435186</v>
      </c>
      <c r="C11922" s="1" t="n">
        <v>46011</v>
      </c>
      <c r="D11922" t="inlineStr">
        <is>
          <t>VÄSTRA GÖTALANDS LÄN</t>
        </is>
      </c>
      <c r="E11922" t="inlineStr">
        <is>
          <t>BORÅS</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56029-2024</t>
        </is>
      </c>
      <c r="B11923" s="1" t="n">
        <v>45624.31143518518</v>
      </c>
      <c r="C11923" s="1" t="n">
        <v>46011</v>
      </c>
      <c r="D11923" t="inlineStr">
        <is>
          <t>VÄSTRA GÖTALANDS LÄN</t>
        </is>
      </c>
      <c r="E11923" t="inlineStr">
        <is>
          <t>VÄNERSBORG</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56031-2024</t>
        </is>
      </c>
      <c r="B11924" s="1" t="n">
        <v>45624.31189814815</v>
      </c>
      <c r="C11924" s="1" t="n">
        <v>46011</v>
      </c>
      <c r="D11924" t="inlineStr">
        <is>
          <t>VÄSTRA GÖTALANDS LÄN</t>
        </is>
      </c>
      <c r="E11924" t="inlineStr">
        <is>
          <t>TRANEMO</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55763-2023</t>
        </is>
      </c>
      <c r="B11925" s="1" t="n">
        <v>45239.47608796296</v>
      </c>
      <c r="C11925" s="1" t="n">
        <v>46011</v>
      </c>
      <c r="D11925" t="inlineStr">
        <is>
          <t>VÄSTRA GÖTALANDS LÄN</t>
        </is>
      </c>
      <c r="E11925" t="inlineStr">
        <is>
          <t>ULRICEHAMN</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1218-2024</t>
        </is>
      </c>
      <c r="B11926" s="1" t="n">
        <v>45302</v>
      </c>
      <c r="C11926" s="1" t="n">
        <v>46011</v>
      </c>
      <c r="D11926" t="inlineStr">
        <is>
          <t>VÄSTRA GÖTALANDS LÄN</t>
        </is>
      </c>
      <c r="E11926" t="inlineStr">
        <is>
          <t>GULLSPÅNG</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37784-2023</t>
        </is>
      </c>
      <c r="B11927" s="1" t="n">
        <v>45159.83563657408</v>
      </c>
      <c r="C11927" s="1" t="n">
        <v>46011</v>
      </c>
      <c r="D11927" t="inlineStr">
        <is>
          <t>VÄSTRA GÖTALANDS LÄN</t>
        </is>
      </c>
      <c r="E11927" t="inlineStr">
        <is>
          <t>FÄRGELANDA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37787-2023</t>
        </is>
      </c>
      <c r="B11928" s="1" t="n">
        <v>45159.83638888889</v>
      </c>
      <c r="C11928" s="1" t="n">
        <v>46011</v>
      </c>
      <c r="D11928" t="inlineStr">
        <is>
          <t>VÄSTRA GÖTALANDS LÄN</t>
        </is>
      </c>
      <c r="E11928" t="inlineStr">
        <is>
          <t>FÄRGELANDA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37788-2023</t>
        </is>
      </c>
      <c r="B11929" s="1" t="n">
        <v>45159.83733796296</v>
      </c>
      <c r="C11929" s="1" t="n">
        <v>46011</v>
      </c>
      <c r="D11929" t="inlineStr">
        <is>
          <t>VÄSTRA GÖTALANDS LÄN</t>
        </is>
      </c>
      <c r="E11929" t="inlineStr">
        <is>
          <t>FÄRGELANDA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17201-2025</t>
        </is>
      </c>
      <c r="B11930" s="1" t="n">
        <v>45756.42020833334</v>
      </c>
      <c r="C11930" s="1" t="n">
        <v>46011</v>
      </c>
      <c r="D11930" t="inlineStr">
        <is>
          <t>VÄSTRA GÖTALANDS LÄN</t>
        </is>
      </c>
      <c r="E11930" t="inlineStr">
        <is>
          <t>VÅRGÅRDA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17219-2025</t>
        </is>
      </c>
      <c r="B11931" s="1" t="n">
        <v>45756.45190972222</v>
      </c>
      <c r="C11931" s="1" t="n">
        <v>46011</v>
      </c>
      <c r="D11931" t="inlineStr">
        <is>
          <t>VÄSTRA GÖTALANDS LÄN</t>
        </is>
      </c>
      <c r="E11931" t="inlineStr">
        <is>
          <t>GÖTENE</t>
        </is>
      </c>
      <c r="F11931" t="inlineStr">
        <is>
          <t>Sveaskog</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17243-2025</t>
        </is>
      </c>
      <c r="B11932" s="1" t="n">
        <v>45756.49090277778</v>
      </c>
      <c r="C11932" s="1" t="n">
        <v>46011</v>
      </c>
      <c r="D11932" t="inlineStr">
        <is>
          <t>VÄSTRA GÖTALANDS LÄN</t>
        </is>
      </c>
      <c r="E11932" t="inlineStr">
        <is>
          <t>HERRLJUNGA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17263-2025</t>
        </is>
      </c>
      <c r="B11933" s="1" t="n">
        <v>45756</v>
      </c>
      <c r="C11933" s="1" t="n">
        <v>46011</v>
      </c>
      <c r="D11933" t="inlineStr">
        <is>
          <t>VÄSTRA GÖTALANDS LÄN</t>
        </is>
      </c>
      <c r="E11933" t="inlineStr">
        <is>
          <t>BORÅS</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15179-2025</t>
        </is>
      </c>
      <c r="B11934" s="1" t="n">
        <v>45744.52523148148</v>
      </c>
      <c r="C11934" s="1" t="n">
        <v>46011</v>
      </c>
      <c r="D11934" t="inlineStr">
        <is>
          <t>VÄSTRA GÖTALANDS LÄN</t>
        </is>
      </c>
      <c r="E11934" t="inlineStr">
        <is>
          <t>BENGTSFORS</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42357-2023</t>
        </is>
      </c>
      <c r="B11935" s="1" t="n">
        <v>45180</v>
      </c>
      <c r="C11935" s="1" t="n">
        <v>46011</v>
      </c>
      <c r="D11935" t="inlineStr">
        <is>
          <t>VÄSTRA GÖTALANDS LÄN</t>
        </is>
      </c>
      <c r="E11935" t="inlineStr">
        <is>
          <t>SVENLJUNGA</t>
        </is>
      </c>
      <c r="G11935" t="n">
        <v>17.5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39471-2023</t>
        </is>
      </c>
      <c r="B11936" s="1" t="n">
        <v>45166.87197916667</v>
      </c>
      <c r="C11936" s="1" t="n">
        <v>46011</v>
      </c>
      <c r="D11936" t="inlineStr">
        <is>
          <t>VÄSTRA GÖTALANDS LÄN</t>
        </is>
      </c>
      <c r="E11936" t="inlineStr">
        <is>
          <t>ALINGSÅS</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39475-2023</t>
        </is>
      </c>
      <c r="B11937" s="1" t="n">
        <v>45166</v>
      </c>
      <c r="C11937" s="1" t="n">
        <v>46011</v>
      </c>
      <c r="D11937" t="inlineStr">
        <is>
          <t>VÄSTRA GÖTALANDS LÄN</t>
        </is>
      </c>
      <c r="E11937" t="inlineStr">
        <is>
          <t>VÅRGÅRDA</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6644-2021</t>
        </is>
      </c>
      <c r="B11938" s="1" t="n">
        <v>44236</v>
      </c>
      <c r="C11938" s="1" t="n">
        <v>46011</v>
      </c>
      <c r="D11938" t="inlineStr">
        <is>
          <t>VÄSTRA GÖTALANDS LÄN</t>
        </is>
      </c>
      <c r="E11938" t="inlineStr">
        <is>
          <t>MARK</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6716-2021</t>
        </is>
      </c>
      <c r="B11939" s="1" t="n">
        <v>44236</v>
      </c>
      <c r="C11939" s="1" t="n">
        <v>46011</v>
      </c>
      <c r="D11939" t="inlineStr">
        <is>
          <t>VÄSTRA GÖTALANDS LÄN</t>
        </is>
      </c>
      <c r="E11939" t="inlineStr">
        <is>
          <t>VARA</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53213-2024</t>
        </is>
      </c>
      <c r="B11940" s="1" t="n">
        <v>45612.65795138889</v>
      </c>
      <c r="C11940" s="1" t="n">
        <v>46011</v>
      </c>
      <c r="D11940" t="inlineStr">
        <is>
          <t>VÄSTRA GÖTALANDS LÄN</t>
        </is>
      </c>
      <c r="E11940" t="inlineStr">
        <is>
          <t>VÅRGÅRDA</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9833-2025</t>
        </is>
      </c>
      <c r="B11941" s="1" t="n">
        <v>45716.58680555555</v>
      </c>
      <c r="C11941" s="1" t="n">
        <v>46011</v>
      </c>
      <c r="D11941" t="inlineStr">
        <is>
          <t>VÄSTRA GÖTALANDS LÄN</t>
        </is>
      </c>
      <c r="E11941" t="inlineStr">
        <is>
          <t>TRANEMO</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2922-2024</t>
        </is>
      </c>
      <c r="B11942" s="1" t="n">
        <v>45315.58699074074</v>
      </c>
      <c r="C11942" s="1" t="n">
        <v>46011</v>
      </c>
      <c r="D11942" t="inlineStr">
        <is>
          <t>VÄSTRA GÖTALANDS LÄN</t>
        </is>
      </c>
      <c r="E11942" t="inlineStr">
        <is>
          <t>TRANEMO</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65200-2023</t>
        </is>
      </c>
      <c r="B11943" s="1" t="n">
        <v>45289.42331018519</v>
      </c>
      <c r="C11943" s="1" t="n">
        <v>46011</v>
      </c>
      <c r="D11943" t="inlineStr">
        <is>
          <t>VÄSTRA GÖTALANDS LÄN</t>
        </is>
      </c>
      <c r="E11943" t="inlineStr">
        <is>
          <t>BORÅS</t>
        </is>
      </c>
      <c r="G11943" t="n">
        <v>12.5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2830-2024</t>
        </is>
      </c>
      <c r="B11944" s="1" t="n">
        <v>45314</v>
      </c>
      <c r="C11944" s="1" t="n">
        <v>46011</v>
      </c>
      <c r="D11944" t="inlineStr">
        <is>
          <t>VÄSTRA GÖTALANDS LÄN</t>
        </is>
      </c>
      <c r="E11944" t="inlineStr">
        <is>
          <t>TIDAHOLM</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28050-2022</t>
        </is>
      </c>
      <c r="B11945" s="1" t="n">
        <v>44746.41486111111</v>
      </c>
      <c r="C11945" s="1" t="n">
        <v>46011</v>
      </c>
      <c r="D11945" t="inlineStr">
        <is>
          <t>VÄSTRA GÖTALANDS LÄN</t>
        </is>
      </c>
      <c r="E11945" t="inlineStr">
        <is>
          <t>MARIESTAD</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28056-2022</t>
        </is>
      </c>
      <c r="B11946" s="1" t="n">
        <v>44746.42554398148</v>
      </c>
      <c r="C11946" s="1" t="n">
        <v>46011</v>
      </c>
      <c r="D11946" t="inlineStr">
        <is>
          <t>VÄSTRA GÖTALANDS LÄN</t>
        </is>
      </c>
      <c r="E11946" t="inlineStr">
        <is>
          <t>MARIESTAD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28089-2022</t>
        </is>
      </c>
      <c r="B11947" s="1" t="n">
        <v>44746</v>
      </c>
      <c r="C11947" s="1" t="n">
        <v>46011</v>
      </c>
      <c r="D11947" t="inlineStr">
        <is>
          <t>VÄSTRA GÖTALANDS LÄN</t>
        </is>
      </c>
      <c r="E11947" t="inlineStr">
        <is>
          <t>LERUM</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2124-2021</t>
        </is>
      </c>
      <c r="B11948" s="1" t="n">
        <v>44210</v>
      </c>
      <c r="C11948" s="1" t="n">
        <v>46011</v>
      </c>
      <c r="D11948" t="inlineStr">
        <is>
          <t>VÄSTRA GÖTALANDS LÄN</t>
        </is>
      </c>
      <c r="E11948" t="inlineStr">
        <is>
          <t>TANUM</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18984-2025</t>
        </is>
      </c>
      <c r="B11949" s="1" t="n">
        <v>45764.55996527777</v>
      </c>
      <c r="C11949" s="1" t="n">
        <v>46011</v>
      </c>
      <c r="D11949" t="inlineStr">
        <is>
          <t>VÄSTRA GÖTALANDS LÄN</t>
        </is>
      </c>
      <c r="E11949" t="inlineStr">
        <is>
          <t>FALKÖPING</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3522-2024</t>
        </is>
      </c>
      <c r="B11950" s="1" t="n">
        <v>45320.53537037037</v>
      </c>
      <c r="C11950" s="1" t="n">
        <v>46011</v>
      </c>
      <c r="D11950" t="inlineStr">
        <is>
          <t>VÄSTRA GÖTALANDS LÄN</t>
        </is>
      </c>
      <c r="E11950" t="inlineStr">
        <is>
          <t>VARA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35599-2022</t>
        </is>
      </c>
      <c r="B11951" s="1" t="n">
        <v>44799.45141203704</v>
      </c>
      <c r="C11951" s="1" t="n">
        <v>46011</v>
      </c>
      <c r="D11951" t="inlineStr">
        <is>
          <t>VÄSTRA GÖTALANDS LÄN</t>
        </is>
      </c>
      <c r="E11951" t="inlineStr">
        <is>
          <t>TANUM</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57854-2023</t>
        </is>
      </c>
      <c r="B11952" s="1" t="n">
        <v>45247.43427083334</v>
      </c>
      <c r="C11952" s="1" t="n">
        <v>46011</v>
      </c>
      <c r="D11952" t="inlineStr">
        <is>
          <t>VÄSTRA GÖTALANDS LÄN</t>
        </is>
      </c>
      <c r="E11952" t="inlineStr">
        <is>
          <t>ULRICEHAMN</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26441-2022</t>
        </is>
      </c>
      <c r="B11953" s="1" t="n">
        <v>44738</v>
      </c>
      <c r="C11953" s="1" t="n">
        <v>46011</v>
      </c>
      <c r="D11953" t="inlineStr">
        <is>
          <t>VÄSTRA GÖTALANDS LÄN</t>
        </is>
      </c>
      <c r="E11953" t="inlineStr">
        <is>
          <t>GULLSPÅNG</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59020-2023</t>
        </is>
      </c>
      <c r="B11954" s="1" t="n">
        <v>45252</v>
      </c>
      <c r="C11954" s="1" t="n">
        <v>46011</v>
      </c>
      <c r="D11954" t="inlineStr">
        <is>
          <t>VÄSTRA GÖTALANDS LÄN</t>
        </is>
      </c>
      <c r="E11954" t="inlineStr">
        <is>
          <t>FÄRGELANDA</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26508-2022</t>
        </is>
      </c>
      <c r="B11955" s="1" t="n">
        <v>44739</v>
      </c>
      <c r="C11955" s="1" t="n">
        <v>46011</v>
      </c>
      <c r="D11955" t="inlineStr">
        <is>
          <t>VÄSTRA GÖTALANDS LÄN</t>
        </is>
      </c>
      <c r="E11955" t="inlineStr">
        <is>
          <t>TANUM</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58257-2023</t>
        </is>
      </c>
      <c r="B11956" s="1" t="n">
        <v>45250.48587962963</v>
      </c>
      <c r="C11956" s="1" t="n">
        <v>46011</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57324-2023</t>
        </is>
      </c>
      <c r="B11957" s="1" t="n">
        <v>45245</v>
      </c>
      <c r="C11957" s="1" t="n">
        <v>46011</v>
      </c>
      <c r="D11957" t="inlineStr">
        <is>
          <t>VÄSTRA GÖTALANDS LÄN</t>
        </is>
      </c>
      <c r="E11957" t="inlineStr">
        <is>
          <t>SVENLJUNGA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28196-2022</t>
        </is>
      </c>
      <c r="B11958" s="1" t="n">
        <v>44746</v>
      </c>
      <c r="C11958" s="1" t="n">
        <v>46011</v>
      </c>
      <c r="D11958" t="inlineStr">
        <is>
          <t>VÄSTRA GÖTALANDS LÄN</t>
        </is>
      </c>
      <c r="E11958" t="inlineStr">
        <is>
          <t>TÖREBODA</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37941-2023</t>
        </is>
      </c>
      <c r="B11959" s="1" t="n">
        <v>45160.54324074074</v>
      </c>
      <c r="C11959" s="1" t="n">
        <v>46011</v>
      </c>
      <c r="D11959" t="inlineStr">
        <is>
          <t>VÄSTRA GÖTALANDS LÄN</t>
        </is>
      </c>
      <c r="E11959" t="inlineStr">
        <is>
          <t>MUNKEDAL</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58789-2022</t>
        </is>
      </c>
      <c r="B11960" s="1" t="n">
        <v>44903.41709490741</v>
      </c>
      <c r="C11960" s="1" t="n">
        <v>46011</v>
      </c>
      <c r="D11960" t="inlineStr">
        <is>
          <t>VÄSTRA GÖTALANDS LÄN</t>
        </is>
      </c>
      <c r="E11960" t="inlineStr">
        <is>
          <t>LYSEKIL</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58794-2022</t>
        </is>
      </c>
      <c r="B11961" s="1" t="n">
        <v>44903.42262731482</v>
      </c>
      <c r="C11961" s="1" t="n">
        <v>46011</v>
      </c>
      <c r="D11961" t="inlineStr">
        <is>
          <t>VÄSTRA GÖTALANDS LÄN</t>
        </is>
      </c>
      <c r="E11961" t="inlineStr">
        <is>
          <t>LYSEKIL</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2647-2024</t>
        </is>
      </c>
      <c r="B11962" s="1" t="n">
        <v>45314.36715277778</v>
      </c>
      <c r="C11962" s="1" t="n">
        <v>46011</v>
      </c>
      <c r="D11962" t="inlineStr">
        <is>
          <t>VÄSTRA GÖTALANDS LÄN</t>
        </is>
      </c>
      <c r="E11962" t="inlineStr">
        <is>
          <t>UDDEVALLA</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11739-2025</t>
        </is>
      </c>
      <c r="B11963" s="1" t="n">
        <v>45727.62487268518</v>
      </c>
      <c r="C11963" s="1" t="n">
        <v>46011</v>
      </c>
      <c r="D11963" t="inlineStr">
        <is>
          <t>VÄSTRA GÖTALANDS LÄN</t>
        </is>
      </c>
      <c r="E11963" t="inlineStr">
        <is>
          <t>BENGTSFORS</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54555-2023</t>
        </is>
      </c>
      <c r="B11964" s="1" t="n">
        <v>45233</v>
      </c>
      <c r="C11964" s="1" t="n">
        <v>46011</v>
      </c>
      <c r="D11964" t="inlineStr">
        <is>
          <t>VÄSTRA GÖTALANDS LÄN</t>
        </is>
      </c>
      <c r="E11964" t="inlineStr">
        <is>
          <t>ESSUNGA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54590-2023</t>
        </is>
      </c>
      <c r="B11965" s="1" t="n">
        <v>45233</v>
      </c>
      <c r="C11965" s="1" t="n">
        <v>46011</v>
      </c>
      <c r="D11965" t="inlineStr">
        <is>
          <t>VÄSTRA GÖTALANDS LÄN</t>
        </is>
      </c>
      <c r="E11965" t="inlineStr">
        <is>
          <t>BENGTSFORS</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11827-2025</t>
        </is>
      </c>
      <c r="B11966" s="1" t="n">
        <v>45728.33512731481</v>
      </c>
      <c r="C11966" s="1" t="n">
        <v>46011</v>
      </c>
      <c r="D11966" t="inlineStr">
        <is>
          <t>VÄSTRA GÖTALANDS LÄN</t>
        </is>
      </c>
      <c r="E11966" t="inlineStr">
        <is>
          <t>GULLSPÅNG</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11891-2025</t>
        </is>
      </c>
      <c r="B11967" s="1" t="n">
        <v>45728.46309027778</v>
      </c>
      <c r="C11967" s="1" t="n">
        <v>46011</v>
      </c>
      <c r="D11967" t="inlineStr">
        <is>
          <t>VÄSTRA GÖTALANDS LÄN</t>
        </is>
      </c>
      <c r="E11967" t="inlineStr">
        <is>
          <t>STRÖMSTAD</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29801-2022</t>
        </is>
      </c>
      <c r="B11968" s="1" t="n">
        <v>44755.70518518519</v>
      </c>
      <c r="C11968" s="1" t="n">
        <v>46011</v>
      </c>
      <c r="D11968" t="inlineStr">
        <is>
          <t>VÄSTRA GÖTALANDS LÄN</t>
        </is>
      </c>
      <c r="E11968" t="inlineStr">
        <is>
          <t>KUNGÄLV</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49252-2023</t>
        </is>
      </c>
      <c r="B11969" s="1" t="n">
        <v>45210.66451388889</v>
      </c>
      <c r="C11969" s="1" t="n">
        <v>46011</v>
      </c>
      <c r="D11969" t="inlineStr">
        <is>
          <t>VÄSTRA GÖTALANDS LÄN</t>
        </is>
      </c>
      <c r="E11969" t="inlineStr">
        <is>
          <t>GÖTENE</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49270-2023</t>
        </is>
      </c>
      <c r="B11970" s="1" t="n">
        <v>45210.68569444444</v>
      </c>
      <c r="C11970" s="1" t="n">
        <v>46011</v>
      </c>
      <c r="D11970" t="inlineStr">
        <is>
          <t>VÄSTRA GÖTALANDS LÄN</t>
        </is>
      </c>
      <c r="E11970" t="inlineStr">
        <is>
          <t>TRANEMO</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59692-2023</t>
        </is>
      </c>
      <c r="B11971" s="1" t="n">
        <v>45256</v>
      </c>
      <c r="C11971" s="1" t="n">
        <v>46011</v>
      </c>
      <c r="D11971" t="inlineStr">
        <is>
          <t>VÄSTRA GÖTALANDS LÄN</t>
        </is>
      </c>
      <c r="E11971" t="inlineStr">
        <is>
          <t>VÄNERSBORG</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31917-2022</t>
        </is>
      </c>
      <c r="B11972" s="1" t="n">
        <v>44777.59171296296</v>
      </c>
      <c r="C11972" s="1" t="n">
        <v>46011</v>
      </c>
      <c r="D11972" t="inlineStr">
        <is>
          <t>VÄSTRA GÖTALANDS LÄN</t>
        </is>
      </c>
      <c r="E11972" t="inlineStr">
        <is>
          <t>GÖTENE</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24922-2024</t>
        </is>
      </c>
      <c r="B11973" s="1" t="n">
        <v>45461.60770833334</v>
      </c>
      <c r="C11973" s="1" t="n">
        <v>46011</v>
      </c>
      <c r="D11973" t="inlineStr">
        <is>
          <t>VÄSTRA GÖTALANDS LÄN</t>
        </is>
      </c>
      <c r="E11973" t="inlineStr">
        <is>
          <t>ULRICEHAMN</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37327-2022</t>
        </is>
      </c>
      <c r="B11974" s="1" t="n">
        <v>44806</v>
      </c>
      <c r="C11974" s="1" t="n">
        <v>46011</v>
      </c>
      <c r="D11974" t="inlineStr">
        <is>
          <t>VÄSTRA GÖTALANDS LÄN</t>
        </is>
      </c>
      <c r="E11974" t="inlineStr">
        <is>
          <t>MUNKEDAL</t>
        </is>
      </c>
      <c r="F11974" t="inlineStr">
        <is>
          <t>Övriga Aktiebolag</t>
        </is>
      </c>
      <c r="G11974" t="n">
        <v>25.2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11256-2025</t>
        </is>
      </c>
      <c r="B11975" s="1" t="n">
        <v>45726.39108796296</v>
      </c>
      <c r="C11975" s="1" t="n">
        <v>46011</v>
      </c>
      <c r="D11975" t="inlineStr">
        <is>
          <t>VÄSTRA GÖTALANDS LÄN</t>
        </is>
      </c>
      <c r="E11975" t="inlineStr">
        <is>
          <t>MELLERUD</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11270-2025</t>
        </is>
      </c>
      <c r="B11976" s="1" t="n">
        <v>45726.40613425926</v>
      </c>
      <c r="C11976" s="1" t="n">
        <v>46011</v>
      </c>
      <c r="D11976" t="inlineStr">
        <is>
          <t>VÄSTRA GÖTALANDS LÄN</t>
        </is>
      </c>
      <c r="E11976" t="inlineStr">
        <is>
          <t>VARA</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35034-2022</t>
        </is>
      </c>
      <c r="B11977" s="1" t="n">
        <v>44797</v>
      </c>
      <c r="C11977" s="1" t="n">
        <v>46011</v>
      </c>
      <c r="D11977" t="inlineStr">
        <is>
          <t>VÄSTRA GÖTALANDS LÄN</t>
        </is>
      </c>
      <c r="E11977" t="inlineStr">
        <is>
          <t>SVENLJUNGA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35047-2022</t>
        </is>
      </c>
      <c r="B11978" s="1" t="n">
        <v>44797.32917824074</v>
      </c>
      <c r="C11978" s="1" t="n">
        <v>46011</v>
      </c>
      <c r="D11978" t="inlineStr">
        <is>
          <t>VÄSTRA GÖTALANDS LÄN</t>
        </is>
      </c>
      <c r="E11978" t="inlineStr">
        <is>
          <t>MARIESTAD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37383-2022</t>
        </is>
      </c>
      <c r="B11979" s="1" t="n">
        <v>44809.40762731482</v>
      </c>
      <c r="C11979" s="1" t="n">
        <v>46011</v>
      </c>
      <c r="D11979" t="inlineStr">
        <is>
          <t>VÄSTRA GÖTALANDS LÄN</t>
        </is>
      </c>
      <c r="E11979" t="inlineStr">
        <is>
          <t>KARLSBORG</t>
        </is>
      </c>
      <c r="F11979" t="inlineStr">
        <is>
          <t>Sveaskog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49981-2023</t>
        </is>
      </c>
      <c r="B11980" s="1" t="n">
        <v>45215</v>
      </c>
      <c r="C11980" s="1" t="n">
        <v>46011</v>
      </c>
      <c r="D11980" t="inlineStr">
        <is>
          <t>VÄSTRA GÖTALANDS LÄN</t>
        </is>
      </c>
      <c r="E11980" t="inlineStr">
        <is>
          <t>KUNGÄLV</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62205-2023</t>
        </is>
      </c>
      <c r="B11981" s="1" t="n">
        <v>45267.48306712963</v>
      </c>
      <c r="C11981" s="1" t="n">
        <v>46011</v>
      </c>
      <c r="D11981" t="inlineStr">
        <is>
          <t>VÄSTRA GÖTALANDS LÄN</t>
        </is>
      </c>
      <c r="E11981" t="inlineStr">
        <is>
          <t>TRANEMO</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50038-2023</t>
        </is>
      </c>
      <c r="B11982" s="1" t="n">
        <v>45215.4892824074</v>
      </c>
      <c r="C11982" s="1" t="n">
        <v>46011</v>
      </c>
      <c r="D11982" t="inlineStr">
        <is>
          <t>VÄSTRA GÖTALANDS LÄN</t>
        </is>
      </c>
      <c r="E11982" t="inlineStr">
        <is>
          <t>MUNKEDAL</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50046-2023</t>
        </is>
      </c>
      <c r="B11983" s="1" t="n">
        <v>45215</v>
      </c>
      <c r="C11983" s="1" t="n">
        <v>46011</v>
      </c>
      <c r="D11983" t="inlineStr">
        <is>
          <t>VÄSTRA GÖTALANDS LÄN</t>
        </is>
      </c>
      <c r="E11983" t="inlineStr">
        <is>
          <t>FÄRGELANDA</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38048-2022</t>
        </is>
      </c>
      <c r="B11984" s="1" t="n">
        <v>44811</v>
      </c>
      <c r="C11984" s="1" t="n">
        <v>46011</v>
      </c>
      <c r="D11984" t="inlineStr">
        <is>
          <t>VÄSTRA GÖTALANDS LÄN</t>
        </is>
      </c>
      <c r="E11984" t="inlineStr">
        <is>
          <t>SKÖVDE</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19675-2025</t>
        </is>
      </c>
      <c r="B11985" s="1" t="n">
        <v>45770.73893518518</v>
      </c>
      <c r="C11985" s="1" t="n">
        <v>46011</v>
      </c>
      <c r="D11985" t="inlineStr">
        <is>
          <t>VÄSTRA GÖTALANDS LÄN</t>
        </is>
      </c>
      <c r="E11985" t="inlineStr">
        <is>
          <t>SVENLJUNGA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59156-2023</t>
        </is>
      </c>
      <c r="B11986" s="1" t="n">
        <v>45251</v>
      </c>
      <c r="C11986" s="1" t="n">
        <v>46011</v>
      </c>
      <c r="D11986" t="inlineStr">
        <is>
          <t>VÄSTRA GÖTALANDS LÄN</t>
        </is>
      </c>
      <c r="E11986" t="inlineStr">
        <is>
          <t>MARK</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8953-2023</t>
        </is>
      </c>
      <c r="B11987" s="1" t="n">
        <v>44979.47184027778</v>
      </c>
      <c r="C11987" s="1" t="n">
        <v>46011</v>
      </c>
      <c r="D11987" t="inlineStr">
        <is>
          <t>VÄSTRA GÖTALANDS LÄN</t>
        </is>
      </c>
      <c r="E11987" t="inlineStr">
        <is>
          <t>LIDKÖPING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8956-2023</t>
        </is>
      </c>
      <c r="B11988" s="1" t="n">
        <v>44979</v>
      </c>
      <c r="C11988" s="1" t="n">
        <v>46011</v>
      </c>
      <c r="D11988" t="inlineStr">
        <is>
          <t>VÄSTRA GÖTALANDS LÄN</t>
        </is>
      </c>
      <c r="E11988" t="inlineStr">
        <is>
          <t>SVENLJUNGA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20539-2025</t>
        </is>
      </c>
      <c r="B11989" s="1" t="n">
        <v>45775.62319444444</v>
      </c>
      <c r="C11989" s="1" t="n">
        <v>46011</v>
      </c>
      <c r="D11989" t="inlineStr">
        <is>
          <t>VÄSTRA GÖTALANDS LÄN</t>
        </is>
      </c>
      <c r="E11989" t="inlineStr">
        <is>
          <t>MARK</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3391-2024</t>
        </is>
      </c>
      <c r="B11990" s="1" t="n">
        <v>45318</v>
      </c>
      <c r="C11990" s="1" t="n">
        <v>46011</v>
      </c>
      <c r="D11990" t="inlineStr">
        <is>
          <t>VÄSTRA GÖTALANDS LÄN</t>
        </is>
      </c>
      <c r="E11990" t="inlineStr">
        <is>
          <t>STRÖMSTAD</t>
        </is>
      </c>
      <c r="F11990" t="inlineStr">
        <is>
          <t>Kommuner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7766-2023</t>
        </is>
      </c>
      <c r="B11991" s="1" t="n">
        <v>44973</v>
      </c>
      <c r="C11991" s="1" t="n">
        <v>46011</v>
      </c>
      <c r="D11991" t="inlineStr">
        <is>
          <t>VÄSTRA GÖTALANDS LÄN</t>
        </is>
      </c>
      <c r="E11991" t="inlineStr">
        <is>
          <t>TIDAHOLM</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57539-2023</t>
        </is>
      </c>
      <c r="B11992" s="1" t="n">
        <v>45246</v>
      </c>
      <c r="C11992" s="1" t="n">
        <v>46011</v>
      </c>
      <c r="D11992" t="inlineStr">
        <is>
          <t>VÄSTRA GÖTALANDS LÄN</t>
        </is>
      </c>
      <c r="E11992" t="inlineStr">
        <is>
          <t>TIDAHOLM</t>
        </is>
      </c>
      <c r="F11992" t="inlineStr">
        <is>
          <t>Kyrkan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7771-2023</t>
        </is>
      </c>
      <c r="B11993" s="1" t="n">
        <v>44973</v>
      </c>
      <c r="C11993" s="1" t="n">
        <v>46011</v>
      </c>
      <c r="D11993" t="inlineStr">
        <is>
          <t>VÄSTRA GÖTALANDS LÄN</t>
        </is>
      </c>
      <c r="E11993" t="inlineStr">
        <is>
          <t>UDDEVALLA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7795-2023</t>
        </is>
      </c>
      <c r="B11994" s="1" t="n">
        <v>44973</v>
      </c>
      <c r="C11994" s="1" t="n">
        <v>46011</v>
      </c>
      <c r="D11994" t="inlineStr">
        <is>
          <t>VÄSTRA GÖTALANDS LÄN</t>
        </is>
      </c>
      <c r="E11994" t="inlineStr">
        <is>
          <t>VÄNERSBORG</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17876-2025</t>
        </is>
      </c>
      <c r="B11995" s="1" t="n">
        <v>45758.64768518518</v>
      </c>
      <c r="C11995" s="1" t="n">
        <v>46011</v>
      </c>
      <c r="D11995" t="inlineStr">
        <is>
          <t>VÄSTRA GÖTALANDS LÄN</t>
        </is>
      </c>
      <c r="E11995" t="inlineStr">
        <is>
          <t>GÖTENE</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12273-2024</t>
        </is>
      </c>
      <c r="B11996" s="1" t="n">
        <v>45378.47817129629</v>
      </c>
      <c r="C11996" s="1" t="n">
        <v>46011</v>
      </c>
      <c r="D11996" t="inlineStr">
        <is>
          <t>VÄSTRA GÖTALANDS LÄN</t>
        </is>
      </c>
      <c r="E11996" t="inlineStr">
        <is>
          <t>MÖLNDAL</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61885-2023</t>
        </is>
      </c>
      <c r="B11997" s="1" t="n">
        <v>45264</v>
      </c>
      <c r="C11997" s="1" t="n">
        <v>46011</v>
      </c>
      <c r="D11997" t="inlineStr">
        <is>
          <t>VÄSTRA GÖTALANDS LÄN</t>
        </is>
      </c>
      <c r="E11997" t="inlineStr">
        <is>
          <t>MUNKEDAL</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44930-2023</t>
        </is>
      </c>
      <c r="B11998" s="1" t="n">
        <v>45190</v>
      </c>
      <c r="C11998" s="1" t="n">
        <v>46011</v>
      </c>
      <c r="D11998" t="inlineStr">
        <is>
          <t>VÄSTRA GÖTALANDS LÄN</t>
        </is>
      </c>
      <c r="E11998" t="inlineStr">
        <is>
          <t>ULRICEHAMN</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61603-2023</t>
        </is>
      </c>
      <c r="B11999" s="1" t="n">
        <v>45265</v>
      </c>
      <c r="C11999" s="1" t="n">
        <v>46011</v>
      </c>
      <c r="D11999" t="inlineStr">
        <is>
          <t>VÄSTRA GÖTALANDS LÄN</t>
        </is>
      </c>
      <c r="E11999" t="inlineStr">
        <is>
          <t>MARIESTAD</t>
        </is>
      </c>
      <c r="F11999" t="inlineStr">
        <is>
          <t>Sveaskog</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44992-2023</t>
        </is>
      </c>
      <c r="B12000" s="1" t="n">
        <v>45190.95885416667</v>
      </c>
      <c r="C12000" s="1" t="n">
        <v>46011</v>
      </c>
      <c r="D12000" t="inlineStr">
        <is>
          <t>VÄSTRA GÖTALANDS LÄN</t>
        </is>
      </c>
      <c r="E12000" t="inlineStr">
        <is>
          <t>ESSUNGA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47304-2022</t>
        </is>
      </c>
      <c r="B12001" s="1" t="n">
        <v>44853</v>
      </c>
      <c r="C12001" s="1" t="n">
        <v>46011</v>
      </c>
      <c r="D12001" t="inlineStr">
        <is>
          <t>VÄSTRA GÖTALANDS LÄN</t>
        </is>
      </c>
      <c r="E12001" t="inlineStr">
        <is>
          <t>LYSEKIL</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61687-2023</t>
        </is>
      </c>
      <c r="B12002" s="1" t="n">
        <v>45264</v>
      </c>
      <c r="C12002" s="1" t="n">
        <v>46011</v>
      </c>
      <c r="D12002" t="inlineStr">
        <is>
          <t>VÄSTRA GÖTALANDS LÄN</t>
        </is>
      </c>
      <c r="E12002" t="inlineStr">
        <is>
          <t>VARA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35844-2024</t>
        </is>
      </c>
      <c r="B12003" s="1" t="n">
        <v>45532.77702546296</v>
      </c>
      <c r="C12003" s="1" t="n">
        <v>46011</v>
      </c>
      <c r="D12003" t="inlineStr">
        <is>
          <t>VÄSTRA GÖTALANDS LÄN</t>
        </is>
      </c>
      <c r="E12003" t="inlineStr">
        <is>
          <t>FÄRGELANDA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61701-2023</t>
        </is>
      </c>
      <c r="B12004" s="1" t="n">
        <v>45265</v>
      </c>
      <c r="C12004" s="1" t="n">
        <v>46011</v>
      </c>
      <c r="D12004" t="inlineStr">
        <is>
          <t>VÄSTRA GÖTALANDS LÄN</t>
        </is>
      </c>
      <c r="E12004" t="inlineStr">
        <is>
          <t>HERRLJUNGA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53084-2023</t>
        </is>
      </c>
      <c r="B12005" s="1" t="n">
        <v>45227</v>
      </c>
      <c r="C12005" s="1" t="n">
        <v>46011</v>
      </c>
      <c r="D12005" t="inlineStr">
        <is>
          <t>VÄSTRA GÖTALANDS LÄN</t>
        </is>
      </c>
      <c r="E12005" t="inlineStr">
        <is>
          <t>TRANEMO</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53097-2023</t>
        </is>
      </c>
      <c r="B12006" s="1" t="n">
        <v>45227.77196759259</v>
      </c>
      <c r="C12006" s="1" t="n">
        <v>46011</v>
      </c>
      <c r="D12006" t="inlineStr">
        <is>
          <t>VÄSTRA GÖTALANDS LÄN</t>
        </is>
      </c>
      <c r="E12006" t="inlineStr">
        <is>
          <t>ULRICEHAMN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17553-2025</t>
        </is>
      </c>
      <c r="B12007" s="1" t="n">
        <v>45757.61700231482</v>
      </c>
      <c r="C12007" s="1" t="n">
        <v>46011</v>
      </c>
      <c r="D12007" t="inlineStr">
        <is>
          <t>VÄSTRA GÖTALANDS LÄN</t>
        </is>
      </c>
      <c r="E12007" t="inlineStr">
        <is>
          <t>ALINGSÅS</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21061-2022</t>
        </is>
      </c>
      <c r="B12008" s="1" t="n">
        <v>44704</v>
      </c>
      <c r="C12008" s="1" t="n">
        <v>46011</v>
      </c>
      <c r="D12008" t="inlineStr">
        <is>
          <t>VÄSTRA GÖTALANDS LÄN</t>
        </is>
      </c>
      <c r="E12008" t="inlineStr">
        <is>
          <t>STRÖMSTAD</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36577-2022</t>
        </is>
      </c>
      <c r="B12009" s="1" t="n">
        <v>44804.61065972222</v>
      </c>
      <c r="C12009" s="1" t="n">
        <v>46011</v>
      </c>
      <c r="D12009" t="inlineStr">
        <is>
          <t>VÄSTRA GÖTALANDS LÄN</t>
        </is>
      </c>
      <c r="E12009" t="inlineStr">
        <is>
          <t>BORÅS</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21125-2022</t>
        </is>
      </c>
      <c r="B12010" s="1" t="n">
        <v>44704.61283564815</v>
      </c>
      <c r="C12010" s="1" t="n">
        <v>46011</v>
      </c>
      <c r="D12010" t="inlineStr">
        <is>
          <t>VÄSTRA GÖTALANDS LÄN</t>
        </is>
      </c>
      <c r="E12010" t="inlineStr">
        <is>
          <t>MUNKEDAL</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21161-2022</t>
        </is>
      </c>
      <c r="B12011" s="1" t="n">
        <v>44704.67240740741</v>
      </c>
      <c r="C12011" s="1" t="n">
        <v>46011</v>
      </c>
      <c r="D12011" t="inlineStr">
        <is>
          <t>VÄSTRA GÖTALANDS LÄN</t>
        </is>
      </c>
      <c r="E12011" t="inlineStr">
        <is>
          <t>FALKÖPING</t>
        </is>
      </c>
      <c r="G12011" t="n">
        <v>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216-2024</t>
        </is>
      </c>
      <c r="B12012" s="1" t="n">
        <v>45293</v>
      </c>
      <c r="C12012" s="1" t="n">
        <v>46011</v>
      </c>
      <c r="D12012" t="inlineStr">
        <is>
          <t>VÄSTRA GÖTALANDS LÄN</t>
        </is>
      </c>
      <c r="E12012" t="inlineStr">
        <is>
          <t>MUNKEDAL</t>
        </is>
      </c>
      <c r="F12012" t="inlineStr">
        <is>
          <t>Övriga Aktiebolag</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62996-2023</t>
        </is>
      </c>
      <c r="B12013" s="1" t="n">
        <v>45272.63121527778</v>
      </c>
      <c r="C12013" s="1" t="n">
        <v>46011</v>
      </c>
      <c r="D12013" t="inlineStr">
        <is>
          <t>VÄSTRA GÖTALANDS LÄN</t>
        </is>
      </c>
      <c r="E12013" t="inlineStr">
        <is>
          <t>DALS-ED</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30993-2022</t>
        </is>
      </c>
      <c r="B12014" s="1" t="n">
        <v>44768</v>
      </c>
      <c r="C12014" s="1" t="n">
        <v>46011</v>
      </c>
      <c r="D12014" t="inlineStr">
        <is>
          <t>VÄSTRA GÖTALANDS LÄN</t>
        </is>
      </c>
      <c r="E12014" t="inlineStr">
        <is>
          <t>FÄRGELANDA</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41411-2022</t>
        </is>
      </c>
      <c r="B12015" s="1" t="n">
        <v>44826.63782407407</v>
      </c>
      <c r="C12015" s="1" t="n">
        <v>46011</v>
      </c>
      <c r="D12015" t="inlineStr">
        <is>
          <t>VÄSTRA GÖTALANDS LÄN</t>
        </is>
      </c>
      <c r="E12015" t="inlineStr">
        <is>
          <t>LILLA EDET</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151-2024</t>
        </is>
      </c>
      <c r="B12016" s="1" t="n">
        <v>45293</v>
      </c>
      <c r="C12016" s="1" t="n">
        <v>46011</v>
      </c>
      <c r="D12016" t="inlineStr">
        <is>
          <t>VÄSTRA GÖTALANDS LÄN</t>
        </is>
      </c>
      <c r="E12016" t="inlineStr">
        <is>
          <t>TANUM</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516-2024</t>
        </is>
      </c>
      <c r="B12017" s="1" t="n">
        <v>45299.41960648148</v>
      </c>
      <c r="C12017" s="1" t="n">
        <v>46011</v>
      </c>
      <c r="D12017" t="inlineStr">
        <is>
          <t>VÄSTRA GÖTALANDS LÄN</t>
        </is>
      </c>
      <c r="E12017" t="inlineStr">
        <is>
          <t>SKARA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546-2024</t>
        </is>
      </c>
      <c r="B12018" s="1" t="n">
        <v>45296</v>
      </c>
      <c r="C12018" s="1" t="n">
        <v>46011</v>
      </c>
      <c r="D12018" t="inlineStr">
        <is>
          <t>VÄSTRA GÖTALANDS LÄN</t>
        </is>
      </c>
      <c r="E12018" t="inlineStr">
        <is>
          <t>MUNKEDAL</t>
        </is>
      </c>
      <c r="F12018" t="inlineStr">
        <is>
          <t>Kyrkan</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1147-2024</t>
        </is>
      </c>
      <c r="B12019" s="1" t="n">
        <v>45302</v>
      </c>
      <c r="C12019" s="1" t="n">
        <v>46011</v>
      </c>
      <c r="D12019" t="inlineStr">
        <is>
          <t>VÄSTRA GÖTALANDS LÄN</t>
        </is>
      </c>
      <c r="E12019" t="inlineStr">
        <is>
          <t>UDDEVALLA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24116-2022</t>
        </is>
      </c>
      <c r="B12020" s="1" t="n">
        <v>44725.42993055555</v>
      </c>
      <c r="C12020" s="1" t="n">
        <v>46011</v>
      </c>
      <c r="D12020" t="inlineStr">
        <is>
          <t>VÄSTRA GÖTALANDS LÄN</t>
        </is>
      </c>
      <c r="E12020" t="inlineStr">
        <is>
          <t>TANUM</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55733-2023</t>
        </is>
      </c>
      <c r="B12021" s="1" t="n">
        <v>45232</v>
      </c>
      <c r="C12021" s="1" t="n">
        <v>46011</v>
      </c>
      <c r="D12021" t="inlineStr">
        <is>
          <t>VÄSTRA GÖTALANDS LÄN</t>
        </is>
      </c>
      <c r="E12021" t="inlineStr">
        <is>
          <t>STRÖMSTAD</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18133-2025</t>
        </is>
      </c>
      <c r="B12022" s="1" t="n">
        <v>45761.60090277778</v>
      </c>
      <c r="C12022" s="1" t="n">
        <v>46011</v>
      </c>
      <c r="D12022" t="inlineStr">
        <is>
          <t>VÄSTRA GÖTALANDS LÄN</t>
        </is>
      </c>
      <c r="E12022" t="inlineStr">
        <is>
          <t>MARIESTAD</t>
        </is>
      </c>
      <c r="G12022" t="n">
        <v>11.9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604-2024</t>
        </is>
      </c>
      <c r="B12023" s="1" t="n">
        <v>45299</v>
      </c>
      <c r="C12023" s="1" t="n">
        <v>46011</v>
      </c>
      <c r="D12023" t="inlineStr">
        <is>
          <t>VÄSTRA GÖTALANDS LÄN</t>
        </is>
      </c>
      <c r="E12023" t="inlineStr">
        <is>
          <t>MARK</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650-2024</t>
        </is>
      </c>
      <c r="B12024" s="1" t="n">
        <v>45299</v>
      </c>
      <c r="C12024" s="1" t="n">
        <v>46011</v>
      </c>
      <c r="D12024" t="inlineStr">
        <is>
          <t>VÄSTRA GÖTALANDS LÄN</t>
        </is>
      </c>
      <c r="E12024" t="inlineStr">
        <is>
          <t>GULLSPÅNG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697-2024</t>
        </is>
      </c>
      <c r="B12025" s="1" t="n">
        <v>45300.3849537037</v>
      </c>
      <c r="C12025" s="1" t="n">
        <v>46011</v>
      </c>
      <c r="D12025" t="inlineStr">
        <is>
          <t>VÄSTRA GÖTALANDS LÄN</t>
        </is>
      </c>
      <c r="E12025" t="inlineStr">
        <is>
          <t>TANUM</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20022-2025</t>
        </is>
      </c>
      <c r="B12026" s="1" t="n">
        <v>45772.34013888889</v>
      </c>
      <c r="C12026" s="1" t="n">
        <v>46011</v>
      </c>
      <c r="D12026" t="inlineStr">
        <is>
          <t>VÄSTRA GÖTALANDS LÄN</t>
        </is>
      </c>
      <c r="E12026" t="inlineStr">
        <is>
          <t>VÅRGÅRDA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5997-2024</t>
        </is>
      </c>
      <c r="B12027" s="1" t="n">
        <v>45336</v>
      </c>
      <c r="C12027" s="1" t="n">
        <v>46011</v>
      </c>
      <c r="D12027" t="inlineStr">
        <is>
          <t>VÄSTRA GÖTALANDS LÄN</t>
        </is>
      </c>
      <c r="E12027" t="inlineStr">
        <is>
          <t>TIDAHOLM</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892-2023</t>
        </is>
      </c>
      <c r="B12028" s="1" t="n">
        <v>44931.81667824074</v>
      </c>
      <c r="C12028" s="1" t="n">
        <v>46011</v>
      </c>
      <c r="D12028" t="inlineStr">
        <is>
          <t>VÄSTRA GÖTALANDS LÄN</t>
        </is>
      </c>
      <c r="E12028" t="inlineStr">
        <is>
          <t>ESSUNGA</t>
        </is>
      </c>
      <c r="G12028" t="n">
        <v>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19447-2025</t>
        </is>
      </c>
      <c r="B12029" s="1" t="n">
        <v>45770</v>
      </c>
      <c r="C12029" s="1" t="n">
        <v>46011</v>
      </c>
      <c r="D12029" t="inlineStr">
        <is>
          <t>VÄSTRA GÖTALANDS LÄN</t>
        </is>
      </c>
      <c r="E12029" t="inlineStr">
        <is>
          <t>TROLLHÄTTAN</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10913-2024</t>
        </is>
      </c>
      <c r="B12030" s="1" t="n">
        <v>45370.39414351852</v>
      </c>
      <c r="C12030" s="1" t="n">
        <v>46011</v>
      </c>
      <c r="D12030" t="inlineStr">
        <is>
          <t>VÄSTRA GÖTALANDS LÄN</t>
        </is>
      </c>
      <c r="E12030" t="inlineStr">
        <is>
          <t>SKARA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868-2024</t>
        </is>
      </c>
      <c r="B12031" s="1" t="n">
        <v>45301.32887731482</v>
      </c>
      <c r="C12031" s="1" t="n">
        <v>46011</v>
      </c>
      <c r="D12031" t="inlineStr">
        <is>
          <t>VÄSTRA GÖTALANDS LÄN</t>
        </is>
      </c>
      <c r="E12031" t="inlineStr">
        <is>
          <t>TRANEMO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11518-2024</t>
        </is>
      </c>
      <c r="B12032" s="1" t="n">
        <v>45373</v>
      </c>
      <c r="C12032" s="1" t="n">
        <v>46011</v>
      </c>
      <c r="D12032" t="inlineStr">
        <is>
          <t>VÄSTRA GÖTALANDS LÄN</t>
        </is>
      </c>
      <c r="E12032" t="inlineStr">
        <is>
          <t>MARK</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35720-2022</t>
        </is>
      </c>
      <c r="B12033" s="1" t="n">
        <v>44799.68061342592</v>
      </c>
      <c r="C12033" s="1" t="n">
        <v>46011</v>
      </c>
      <c r="D12033" t="inlineStr">
        <is>
          <t>VÄSTRA GÖTALANDS LÄN</t>
        </is>
      </c>
      <c r="E12033" t="inlineStr">
        <is>
          <t>TANUM</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55119-2023</t>
        </is>
      </c>
      <c r="B12034" s="1" t="n">
        <v>45237.47695601852</v>
      </c>
      <c r="C12034" s="1" t="n">
        <v>46011</v>
      </c>
      <c r="D12034" t="inlineStr">
        <is>
          <t>VÄSTRA GÖTALANDS LÄN</t>
        </is>
      </c>
      <c r="E12034" t="inlineStr">
        <is>
          <t>HJO</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3753-2024</t>
        </is>
      </c>
      <c r="B12035" s="1" t="n">
        <v>45321.54748842592</v>
      </c>
      <c r="C12035" s="1" t="n">
        <v>46011</v>
      </c>
      <c r="D12035" t="inlineStr">
        <is>
          <t>VÄSTRA GÖTALANDS LÄN</t>
        </is>
      </c>
      <c r="E12035" t="inlineStr">
        <is>
          <t>HÄRRYDA</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3766-2024</t>
        </is>
      </c>
      <c r="B12036" s="1" t="n">
        <v>45321</v>
      </c>
      <c r="C12036" s="1" t="n">
        <v>46011</v>
      </c>
      <c r="D12036" t="inlineStr">
        <is>
          <t>VÄSTRA GÖTALANDS LÄN</t>
        </is>
      </c>
      <c r="E12036" t="inlineStr">
        <is>
          <t>BORÅS</t>
        </is>
      </c>
      <c r="F12036" t="inlineStr">
        <is>
          <t>Kommuner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46310-2022</t>
        </is>
      </c>
      <c r="B12037" s="1" t="n">
        <v>44847.89084490741</v>
      </c>
      <c r="C12037" s="1" t="n">
        <v>46011</v>
      </c>
      <c r="D12037" t="inlineStr">
        <is>
          <t>VÄSTRA GÖTALANDS LÄN</t>
        </is>
      </c>
      <c r="E12037" t="inlineStr">
        <is>
          <t>ULRICEHAMN</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36911-2022</t>
        </is>
      </c>
      <c r="B12038" s="1" t="n">
        <v>44805</v>
      </c>
      <c r="C12038" s="1" t="n">
        <v>46011</v>
      </c>
      <c r="D12038" t="inlineStr">
        <is>
          <t>VÄSTRA GÖTALANDS LÄN</t>
        </is>
      </c>
      <c r="E12038" t="inlineStr">
        <is>
          <t>FALKÖPING</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61318-2023</t>
        </is>
      </c>
      <c r="B12039" s="1" t="n">
        <v>45264</v>
      </c>
      <c r="C12039" s="1" t="n">
        <v>46011</v>
      </c>
      <c r="D12039" t="inlineStr">
        <is>
          <t>VÄSTRA GÖTALANDS LÄN</t>
        </is>
      </c>
      <c r="E12039" t="inlineStr">
        <is>
          <t>BOLLEBYGD</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3811-2024</t>
        </is>
      </c>
      <c r="B12040" s="1" t="n">
        <v>45321.673125</v>
      </c>
      <c r="C12040" s="1" t="n">
        <v>46011</v>
      </c>
      <c r="D12040" t="inlineStr">
        <is>
          <t>VÄSTRA GÖTALANDS LÄN</t>
        </is>
      </c>
      <c r="E12040" t="inlineStr">
        <is>
          <t>MÖLNDAL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44155-2022</t>
        </is>
      </c>
      <c r="B12041" s="1" t="n">
        <v>44839</v>
      </c>
      <c r="C12041" s="1" t="n">
        <v>46011</v>
      </c>
      <c r="D12041" t="inlineStr">
        <is>
          <t>VÄSTRA GÖTALANDS LÄN</t>
        </is>
      </c>
      <c r="E12041" t="inlineStr">
        <is>
          <t>BORÅS</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59644-2023</t>
        </is>
      </c>
      <c r="B12042" s="1" t="n">
        <v>45254</v>
      </c>
      <c r="C12042" s="1" t="n">
        <v>46011</v>
      </c>
      <c r="D12042" t="inlineStr">
        <is>
          <t>VÄSTRA GÖTALANDS LÄN</t>
        </is>
      </c>
      <c r="E12042" t="inlineStr">
        <is>
          <t>LIDKÖPING</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15063-2024</t>
        </is>
      </c>
      <c r="B12043" s="1" t="n">
        <v>45399</v>
      </c>
      <c r="C12043" s="1" t="n">
        <v>46011</v>
      </c>
      <c r="D12043" t="inlineStr">
        <is>
          <t>VÄSTRA GÖTALANDS LÄN</t>
        </is>
      </c>
      <c r="E12043" t="inlineStr">
        <is>
          <t>FALKÖPING</t>
        </is>
      </c>
      <c r="F12043" t="inlineStr">
        <is>
          <t>Sveaskog</t>
        </is>
      </c>
      <c r="G12043" t="n">
        <v>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35232-2024</t>
        </is>
      </c>
      <c r="B12044" s="1" t="n">
        <v>45530.53361111111</v>
      </c>
      <c r="C12044" s="1" t="n">
        <v>46011</v>
      </c>
      <c r="D12044" t="inlineStr">
        <is>
          <t>VÄSTRA GÖTALANDS LÄN</t>
        </is>
      </c>
      <c r="E12044" t="inlineStr">
        <is>
          <t>TÖREBODA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59829-2023</t>
        </is>
      </c>
      <c r="B12045" s="1" t="n">
        <v>45257</v>
      </c>
      <c r="C12045" s="1" t="n">
        <v>46011</v>
      </c>
      <c r="D12045" t="inlineStr">
        <is>
          <t>VÄSTRA GÖTALANDS LÄN</t>
        </is>
      </c>
      <c r="E12045" t="inlineStr">
        <is>
          <t>UDDEVALLA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8155-2023</t>
        </is>
      </c>
      <c r="B12046" s="1" t="n">
        <v>44974</v>
      </c>
      <c r="C12046" s="1" t="n">
        <v>46011</v>
      </c>
      <c r="D12046" t="inlineStr">
        <is>
          <t>VÄSTRA GÖTALANDS LÄN</t>
        </is>
      </c>
      <c r="E12046" t="inlineStr">
        <is>
          <t>MELLERUD</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5416-2021</t>
        </is>
      </c>
      <c r="B12047" s="1" t="n">
        <v>44229</v>
      </c>
      <c r="C12047" s="1" t="n">
        <v>46011</v>
      </c>
      <c r="D12047" t="inlineStr">
        <is>
          <t>VÄSTRA GÖTALANDS LÄN</t>
        </is>
      </c>
      <c r="E12047" t="inlineStr">
        <is>
          <t>TROLLHÄTTAN</t>
        </is>
      </c>
      <c r="G12047" t="n">
        <v>12.8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1807-2024</t>
        </is>
      </c>
      <c r="B12048" s="1" t="n">
        <v>45307.59741898148</v>
      </c>
      <c r="C12048" s="1" t="n">
        <v>46011</v>
      </c>
      <c r="D12048" t="inlineStr">
        <is>
          <t>VÄSTRA GÖTALANDS LÄN</t>
        </is>
      </c>
      <c r="E12048" t="inlineStr">
        <is>
          <t>HÄRRYDA</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6947-2024</t>
        </is>
      </c>
      <c r="B12049" s="1" t="n">
        <v>45343</v>
      </c>
      <c r="C12049" s="1" t="n">
        <v>46011</v>
      </c>
      <c r="D12049" t="inlineStr">
        <is>
          <t>VÄSTRA GÖTALANDS LÄN</t>
        </is>
      </c>
      <c r="E12049" t="inlineStr">
        <is>
          <t>ALE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19553-2022</t>
        </is>
      </c>
      <c r="B12050" s="1" t="n">
        <v>44693.65290509259</v>
      </c>
      <c r="C12050" s="1" t="n">
        <v>46011</v>
      </c>
      <c r="D12050" t="inlineStr">
        <is>
          <t>VÄSTRA GÖTALANDS LÄN</t>
        </is>
      </c>
      <c r="E12050" t="inlineStr">
        <is>
          <t>MARIESTAD</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5486-2021</t>
        </is>
      </c>
      <c r="B12051" s="1" t="n">
        <v>44230</v>
      </c>
      <c r="C12051" s="1" t="n">
        <v>46011</v>
      </c>
      <c r="D12051" t="inlineStr">
        <is>
          <t>VÄSTRA GÖTALANDS LÄN</t>
        </is>
      </c>
      <c r="E12051" t="inlineStr">
        <is>
          <t>TRANEMO</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27308-2022</t>
        </is>
      </c>
      <c r="B12052" s="1" t="n">
        <v>44742.33100694444</v>
      </c>
      <c r="C12052" s="1" t="n">
        <v>46011</v>
      </c>
      <c r="D12052" t="inlineStr">
        <is>
          <t>VÄSTRA GÖTALANDS LÄN</t>
        </is>
      </c>
      <c r="E12052" t="inlineStr">
        <is>
          <t>DALS-ED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14005-2025</t>
        </is>
      </c>
      <c r="B12053" s="1" t="n">
        <v>45740.30034722222</v>
      </c>
      <c r="C12053" s="1" t="n">
        <v>46011</v>
      </c>
      <c r="D12053" t="inlineStr">
        <is>
          <t>VÄSTRA GÖTALANDS LÄN</t>
        </is>
      </c>
      <c r="E12053" t="inlineStr">
        <is>
          <t>TRANEMO</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60793-2023</t>
        </is>
      </c>
      <c r="B12054" s="1" t="n">
        <v>45260.6534375</v>
      </c>
      <c r="C12054" s="1" t="n">
        <v>46011</v>
      </c>
      <c r="D12054" t="inlineStr">
        <is>
          <t>VÄSTRA GÖTALANDS LÄN</t>
        </is>
      </c>
      <c r="E12054" t="inlineStr">
        <is>
          <t>TJÖRN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11171-2025</t>
        </is>
      </c>
      <c r="B12055" s="1" t="n">
        <v>45724.47848379629</v>
      </c>
      <c r="C12055" s="1" t="n">
        <v>46011</v>
      </c>
      <c r="D12055" t="inlineStr">
        <is>
          <t>VÄSTRA GÖTALANDS LÄN</t>
        </is>
      </c>
      <c r="E12055" t="inlineStr">
        <is>
          <t>GRÄSTORP</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11718-2025</t>
        </is>
      </c>
      <c r="B12056" s="1" t="n">
        <v>45727.60891203704</v>
      </c>
      <c r="C12056" s="1" t="n">
        <v>46011</v>
      </c>
      <c r="D12056" t="inlineStr">
        <is>
          <t>VÄSTRA GÖTALANDS LÄN</t>
        </is>
      </c>
      <c r="E12056" t="inlineStr">
        <is>
          <t>BORÅS</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8552-2024</t>
        </is>
      </c>
      <c r="B12057" s="1" t="n">
        <v>45351</v>
      </c>
      <c r="C12057" s="1" t="n">
        <v>46011</v>
      </c>
      <c r="D12057" t="inlineStr">
        <is>
          <t>VÄSTRA GÖTALANDS LÄN</t>
        </is>
      </c>
      <c r="E12057" t="inlineStr">
        <is>
          <t>MUNKEDAL</t>
        </is>
      </c>
      <c r="F12057" t="inlineStr">
        <is>
          <t>Övriga Aktiebolag</t>
        </is>
      </c>
      <c r="G12057" t="n">
        <v>22.5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12450-2022</t>
        </is>
      </c>
      <c r="B12058" s="1" t="n">
        <v>44638</v>
      </c>
      <c r="C12058" s="1" t="n">
        <v>46011</v>
      </c>
      <c r="D12058" t="inlineStr">
        <is>
          <t>VÄSTRA GÖTALANDS LÄN</t>
        </is>
      </c>
      <c r="E12058" t="inlineStr">
        <is>
          <t>GÖTENE</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131-2024</t>
        </is>
      </c>
      <c r="B12059" s="1" t="n">
        <v>45294.42097222222</v>
      </c>
      <c r="C12059" s="1" t="n">
        <v>46011</v>
      </c>
      <c r="D12059" t="inlineStr">
        <is>
          <t>VÄSTRA GÖTALANDS LÄN</t>
        </is>
      </c>
      <c r="E12059" t="inlineStr">
        <is>
          <t>TROLLHÄTTAN</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40126-2023</t>
        </is>
      </c>
      <c r="B12060" s="1" t="n">
        <v>45169</v>
      </c>
      <c r="C12060" s="1" t="n">
        <v>46011</v>
      </c>
      <c r="D12060" t="inlineStr">
        <is>
          <t>VÄSTRA GÖTALANDS LÄN</t>
        </is>
      </c>
      <c r="E12060" t="inlineStr">
        <is>
          <t>GRÄSTORP</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21547-2022</t>
        </is>
      </c>
      <c r="B12061" s="1" t="n">
        <v>44706.55664351852</v>
      </c>
      <c r="C12061" s="1" t="n">
        <v>46011</v>
      </c>
      <c r="D12061" t="inlineStr">
        <is>
          <t>VÄSTRA GÖTALANDS LÄN</t>
        </is>
      </c>
      <c r="E12061" t="inlineStr">
        <is>
          <t>FÄRGELANDA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25747-2024</t>
        </is>
      </c>
      <c r="B12062" s="1" t="n">
        <v>45465.44271990741</v>
      </c>
      <c r="C12062" s="1" t="n">
        <v>46011</v>
      </c>
      <c r="D12062" t="inlineStr">
        <is>
          <t>VÄSTRA GÖTALANDS LÄN</t>
        </is>
      </c>
      <c r="E12062" t="inlineStr">
        <is>
          <t>ALINGSÅS</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60904-2023</t>
        </is>
      </c>
      <c r="B12063" s="1" t="n">
        <v>45261</v>
      </c>
      <c r="C12063" s="1" t="n">
        <v>46011</v>
      </c>
      <c r="D12063" t="inlineStr">
        <is>
          <t>VÄSTRA GÖTALANDS LÄN</t>
        </is>
      </c>
      <c r="E12063" t="inlineStr">
        <is>
          <t>ALINGSÅS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54087-2021</t>
        </is>
      </c>
      <c r="B12064" s="1" t="n">
        <v>44470</v>
      </c>
      <c r="C12064" s="1" t="n">
        <v>46011</v>
      </c>
      <c r="D12064" t="inlineStr">
        <is>
          <t>VÄSTRA GÖTALANDS LÄN</t>
        </is>
      </c>
      <c r="E12064" t="inlineStr">
        <is>
          <t>TROLLHÄTTAN</t>
        </is>
      </c>
      <c r="F12064" t="inlineStr">
        <is>
          <t>Kommuner</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56001-2022</t>
        </is>
      </c>
      <c r="B12065" s="1" t="n">
        <v>44889.48150462963</v>
      </c>
      <c r="C12065" s="1" t="n">
        <v>46011</v>
      </c>
      <c r="D12065" t="inlineStr">
        <is>
          <t>VÄSTRA GÖTALANDS LÄN</t>
        </is>
      </c>
      <c r="E12065" t="inlineStr">
        <is>
          <t>BENGTSFORS</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1176-2023</t>
        </is>
      </c>
      <c r="B12066" s="1" t="n">
        <v>44935</v>
      </c>
      <c r="C12066" s="1" t="n">
        <v>46011</v>
      </c>
      <c r="D12066" t="inlineStr">
        <is>
          <t>VÄSTRA GÖTALANDS LÄN</t>
        </is>
      </c>
      <c r="E12066" t="inlineStr">
        <is>
          <t>MARK</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34528-2023</t>
        </is>
      </c>
      <c r="B12067" s="1" t="n">
        <v>45134</v>
      </c>
      <c r="C12067" s="1" t="n">
        <v>46011</v>
      </c>
      <c r="D12067" t="inlineStr">
        <is>
          <t>VÄSTRA GÖTALANDS LÄN</t>
        </is>
      </c>
      <c r="E12067" t="inlineStr">
        <is>
          <t>SKÖVDE</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5066-2022</t>
        </is>
      </c>
      <c r="B12068" s="1" t="n">
        <v>44593</v>
      </c>
      <c r="C12068" s="1" t="n">
        <v>46011</v>
      </c>
      <c r="D12068" t="inlineStr">
        <is>
          <t>VÄSTRA GÖTALANDS LÄN</t>
        </is>
      </c>
      <c r="E12068" t="inlineStr">
        <is>
          <t>ULRICEHAMN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5144-2024</t>
        </is>
      </c>
      <c r="B12069" s="1" t="n">
        <v>45330</v>
      </c>
      <c r="C12069" s="1" t="n">
        <v>46011</v>
      </c>
      <c r="D12069" t="inlineStr">
        <is>
          <t>VÄSTRA GÖTALANDS LÄN</t>
        </is>
      </c>
      <c r="E12069" t="inlineStr">
        <is>
          <t>VÅRGÅRDA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31298-2022</t>
        </is>
      </c>
      <c r="B12070" s="1" t="n">
        <v>44772</v>
      </c>
      <c r="C12070" s="1" t="n">
        <v>46011</v>
      </c>
      <c r="D12070" t="inlineStr">
        <is>
          <t>VÄSTRA GÖTALANDS LÄN</t>
        </is>
      </c>
      <c r="E12070" t="inlineStr">
        <is>
          <t>ULRICEHAMN</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60660-2023</t>
        </is>
      </c>
      <c r="B12071" s="1" t="n">
        <v>45260</v>
      </c>
      <c r="C12071" s="1" t="n">
        <v>46011</v>
      </c>
      <c r="D12071" t="inlineStr">
        <is>
          <t>VÄSTRA GÖTALANDS LÄN</t>
        </is>
      </c>
      <c r="E12071" t="inlineStr">
        <is>
          <t>BENGTSFORS</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53573-2023</t>
        </is>
      </c>
      <c r="B12072" s="1" t="n">
        <v>45230.49935185185</v>
      </c>
      <c r="C12072" s="1" t="n">
        <v>46011</v>
      </c>
      <c r="D12072" t="inlineStr">
        <is>
          <t>VÄSTRA GÖTALANDS LÄN</t>
        </is>
      </c>
      <c r="E12072" t="inlineStr">
        <is>
          <t>MELLERUD</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59990-2023</t>
        </is>
      </c>
      <c r="B12073" s="1" t="n">
        <v>45257.83363425926</v>
      </c>
      <c r="C12073" s="1" t="n">
        <v>46011</v>
      </c>
      <c r="D12073" t="inlineStr">
        <is>
          <t>VÄSTRA GÖTALANDS LÄN</t>
        </is>
      </c>
      <c r="E12073" t="inlineStr">
        <is>
          <t>ULRICEHAMN</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60027-2023</t>
        </is>
      </c>
      <c r="B12074" s="1" t="n">
        <v>45258.31546296296</v>
      </c>
      <c r="C12074" s="1" t="n">
        <v>46011</v>
      </c>
      <c r="D12074" t="inlineStr">
        <is>
          <t>VÄSTRA GÖTALANDS LÄN</t>
        </is>
      </c>
      <c r="E12074" t="inlineStr">
        <is>
          <t>ALINGSÅS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60033-2023</t>
        </is>
      </c>
      <c r="B12075" s="1" t="n">
        <v>45258</v>
      </c>
      <c r="C12075" s="1" t="n">
        <v>46011</v>
      </c>
      <c r="D12075" t="inlineStr">
        <is>
          <t>VÄSTRA GÖTALANDS LÄN</t>
        </is>
      </c>
      <c r="E12075" t="inlineStr">
        <is>
          <t>TRANEMO</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62671-2023</t>
        </is>
      </c>
      <c r="B12076" s="1" t="n">
        <v>45271.4643287037</v>
      </c>
      <c r="C12076" s="1" t="n">
        <v>46011</v>
      </c>
      <c r="D12076" t="inlineStr">
        <is>
          <t>VÄSTRA GÖTALANDS LÄN</t>
        </is>
      </c>
      <c r="E12076" t="inlineStr">
        <is>
          <t>ALINGSÅS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62676-2023</t>
        </is>
      </c>
      <c r="B12077" s="1" t="n">
        <v>45271.4730787037</v>
      </c>
      <c r="C12077" s="1" t="n">
        <v>46011</v>
      </c>
      <c r="D12077" t="inlineStr">
        <is>
          <t>VÄSTRA GÖTALANDS LÄN</t>
        </is>
      </c>
      <c r="E12077" t="inlineStr">
        <is>
          <t>TANUM</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62683-2023</t>
        </is>
      </c>
      <c r="B12078" s="1" t="n">
        <v>45271.48655092593</v>
      </c>
      <c r="C12078" s="1" t="n">
        <v>46011</v>
      </c>
      <c r="D12078" t="inlineStr">
        <is>
          <t>VÄSTRA GÖTALANDS LÄN</t>
        </is>
      </c>
      <c r="E12078" t="inlineStr">
        <is>
          <t>TROLLHÄTTAN</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62710-2023</t>
        </is>
      </c>
      <c r="B12079" s="1" t="n">
        <v>45271</v>
      </c>
      <c r="C12079" s="1" t="n">
        <v>46011</v>
      </c>
      <c r="D12079" t="inlineStr">
        <is>
          <t>VÄSTRA GÖTALANDS LÄN</t>
        </is>
      </c>
      <c r="E12079" t="inlineStr">
        <is>
          <t>FALKÖPING</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5714-2025</t>
        </is>
      </c>
      <c r="B12080" s="1" t="n">
        <v>45694.46822916667</v>
      </c>
      <c r="C12080" s="1" t="n">
        <v>46011</v>
      </c>
      <c r="D12080" t="inlineStr">
        <is>
          <t>VÄSTRA GÖTALANDS LÄN</t>
        </is>
      </c>
      <c r="E12080" t="inlineStr">
        <is>
          <t>SKÖVDE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6766-2021</t>
        </is>
      </c>
      <c r="B12081" s="1" t="n">
        <v>44236</v>
      </c>
      <c r="C12081" s="1" t="n">
        <v>46011</v>
      </c>
      <c r="D12081" t="inlineStr">
        <is>
          <t>VÄSTRA GÖTALANDS LÄN</t>
        </is>
      </c>
      <c r="E12081" t="inlineStr">
        <is>
          <t>VÅRGÅRDA</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55264-2023</t>
        </is>
      </c>
      <c r="B12082" s="1" t="n">
        <v>45237.66819444444</v>
      </c>
      <c r="C12082" s="1" t="n">
        <v>46011</v>
      </c>
      <c r="D12082" t="inlineStr">
        <is>
          <t>VÄSTRA GÖTALANDS LÄN</t>
        </is>
      </c>
      <c r="E12082" t="inlineStr">
        <is>
          <t>ULRICEHAMN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12565-2025</t>
        </is>
      </c>
      <c r="B12083" s="1" t="n">
        <v>45731.60994212963</v>
      </c>
      <c r="C12083" s="1" t="n">
        <v>46011</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37070-2022</t>
        </is>
      </c>
      <c r="B12084" s="1" t="n">
        <v>44806</v>
      </c>
      <c r="C12084" s="1" t="n">
        <v>46011</v>
      </c>
      <c r="D12084" t="inlineStr">
        <is>
          <t>VÄSTRA GÖTALANDS LÄN</t>
        </is>
      </c>
      <c r="E12084" t="inlineStr">
        <is>
          <t>TIDAHOLM</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3476-2023</t>
        </is>
      </c>
      <c r="B12085" s="1" t="n">
        <v>44949</v>
      </c>
      <c r="C12085" s="1" t="n">
        <v>46011</v>
      </c>
      <c r="D12085" t="inlineStr">
        <is>
          <t>VÄSTRA GÖTALANDS LÄN</t>
        </is>
      </c>
      <c r="E12085" t="inlineStr">
        <is>
          <t>BORÅS</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3508-2023</t>
        </is>
      </c>
      <c r="B12086" s="1" t="n">
        <v>44950.31137731481</v>
      </c>
      <c r="C12086" s="1" t="n">
        <v>46011</v>
      </c>
      <c r="D12086" t="inlineStr">
        <is>
          <t>VÄSTRA GÖTALANDS LÄN</t>
        </is>
      </c>
      <c r="E12086" t="inlineStr">
        <is>
          <t>TÖREBODA</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4225-2024</t>
        </is>
      </c>
      <c r="B12087" s="1" t="n">
        <v>45324.41422453704</v>
      </c>
      <c r="C12087" s="1" t="n">
        <v>46011</v>
      </c>
      <c r="D12087" t="inlineStr">
        <is>
          <t>VÄSTRA GÖTALANDS LÄN</t>
        </is>
      </c>
      <c r="E12087" t="inlineStr">
        <is>
          <t>LILLA EDET</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4227-2024</t>
        </is>
      </c>
      <c r="B12088" s="1" t="n">
        <v>45324.41612268519</v>
      </c>
      <c r="C12088" s="1" t="n">
        <v>46011</v>
      </c>
      <c r="D12088" t="inlineStr">
        <is>
          <t>VÄSTRA GÖTALANDS LÄN</t>
        </is>
      </c>
      <c r="E12088" t="inlineStr">
        <is>
          <t>LILLA EDET</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4435-2024</t>
        </is>
      </c>
      <c r="B12089" s="1" t="n">
        <v>45327.47517361111</v>
      </c>
      <c r="C12089" s="1" t="n">
        <v>46011</v>
      </c>
      <c r="D12089" t="inlineStr">
        <is>
          <t>VÄSTRA GÖTALANDS LÄN</t>
        </is>
      </c>
      <c r="E12089" t="inlineStr">
        <is>
          <t>HERRLJUNGA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4437-2024</t>
        </is>
      </c>
      <c r="B12090" s="1" t="n">
        <v>45324</v>
      </c>
      <c r="C12090" s="1" t="n">
        <v>46011</v>
      </c>
      <c r="D12090" t="inlineStr">
        <is>
          <t>VÄSTRA GÖTALANDS LÄN</t>
        </is>
      </c>
      <c r="E12090" t="inlineStr">
        <is>
          <t>MARIESTAD</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8977-2024</t>
        </is>
      </c>
      <c r="B12091" s="1" t="n">
        <v>45357.50591435185</v>
      </c>
      <c r="C12091" s="1" t="n">
        <v>46011</v>
      </c>
      <c r="D12091" t="inlineStr">
        <is>
          <t>VÄSTRA GÖTALANDS LÄN</t>
        </is>
      </c>
      <c r="E12091" t="inlineStr">
        <is>
          <t>ULRICEHAMN</t>
        </is>
      </c>
      <c r="F12091" t="inlineStr">
        <is>
          <t>Sveaskog</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2442-2024</t>
        </is>
      </c>
      <c r="B12092" s="1" t="n">
        <v>45311.59244212963</v>
      </c>
      <c r="C12092" s="1" t="n">
        <v>46011</v>
      </c>
      <c r="D12092" t="inlineStr">
        <is>
          <t>VÄSTRA GÖTALANDS LÄN</t>
        </is>
      </c>
      <c r="E12092" t="inlineStr">
        <is>
          <t>TIDAHOLM</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2472-2024</t>
        </is>
      </c>
      <c r="B12093" s="1" t="n">
        <v>45313.3825</v>
      </c>
      <c r="C12093" s="1" t="n">
        <v>46011</v>
      </c>
      <c r="D12093" t="inlineStr">
        <is>
          <t>VÄSTRA GÖTALANDS LÄN</t>
        </is>
      </c>
      <c r="E12093" t="inlineStr">
        <is>
          <t>SKARA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61060-2022</t>
        </is>
      </c>
      <c r="B12094" s="1" t="n">
        <v>44915</v>
      </c>
      <c r="C12094" s="1" t="n">
        <v>46011</v>
      </c>
      <c r="D12094" t="inlineStr">
        <is>
          <t>VÄSTRA GÖTALANDS LÄN</t>
        </is>
      </c>
      <c r="E12094" t="inlineStr">
        <is>
          <t>MELLERUD</t>
        </is>
      </c>
      <c r="G12094" t="n">
        <v>8.4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61061-2022</t>
        </is>
      </c>
      <c r="B12095" s="1" t="n">
        <v>44915.34159722222</v>
      </c>
      <c r="C12095" s="1" t="n">
        <v>46011</v>
      </c>
      <c r="D12095" t="inlineStr">
        <is>
          <t>VÄSTRA GÖTALANDS LÄN</t>
        </is>
      </c>
      <c r="E12095" t="inlineStr">
        <is>
          <t>MELLERUD</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46037-2023</t>
        </is>
      </c>
      <c r="B12096" s="1" t="n">
        <v>45196</v>
      </c>
      <c r="C12096" s="1" t="n">
        <v>46011</v>
      </c>
      <c r="D12096" t="inlineStr">
        <is>
          <t>VÄSTRA GÖTALANDS LÄN</t>
        </is>
      </c>
      <c r="E12096" t="inlineStr">
        <is>
          <t>FÄRGELANDA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16159-2025</t>
        </is>
      </c>
      <c r="B12097" s="1" t="n">
        <v>45750.49517361111</v>
      </c>
      <c r="C12097" s="1" t="n">
        <v>46011</v>
      </c>
      <c r="D12097" t="inlineStr">
        <is>
          <t>VÄSTRA GÖTALANDS LÄN</t>
        </is>
      </c>
      <c r="E12097" t="inlineStr">
        <is>
          <t>MARK</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55689-2022</t>
        </is>
      </c>
      <c r="B12098" s="1" t="n">
        <v>44888.51767361111</v>
      </c>
      <c r="C12098" s="1" t="n">
        <v>46011</v>
      </c>
      <c r="D12098" t="inlineStr">
        <is>
          <t>VÄSTRA GÖTALANDS LÄN</t>
        </is>
      </c>
      <c r="E12098" t="inlineStr">
        <is>
          <t>MARK</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23185-2024</t>
        </is>
      </c>
      <c r="B12099" s="1" t="n">
        <v>45450</v>
      </c>
      <c r="C12099" s="1" t="n">
        <v>46011</v>
      </c>
      <c r="D12099" t="inlineStr">
        <is>
          <t>VÄSTRA GÖTALANDS LÄN</t>
        </is>
      </c>
      <c r="E12099" t="inlineStr">
        <is>
          <t>ÅMÅL</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38244-2022</t>
        </is>
      </c>
      <c r="B12100" s="1" t="n">
        <v>44812.47820601852</v>
      </c>
      <c r="C12100" s="1" t="n">
        <v>46011</v>
      </c>
      <c r="D12100" t="inlineStr">
        <is>
          <t>VÄSTRA GÖTALANDS LÄN</t>
        </is>
      </c>
      <c r="E12100" t="inlineStr">
        <is>
          <t>FALKÖPING</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9618-2024</t>
        </is>
      </c>
      <c r="B12101" s="1" t="n">
        <v>45361.80405092592</v>
      </c>
      <c r="C12101" s="1" t="n">
        <v>46011</v>
      </c>
      <c r="D12101" t="inlineStr">
        <is>
          <t>VÄSTRA GÖTALANDS LÄN</t>
        </is>
      </c>
      <c r="E12101" t="inlineStr">
        <is>
          <t>SVENLJUNGA</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9619-2024</t>
        </is>
      </c>
      <c r="B12102" s="1" t="n">
        <v>45361.81438657407</v>
      </c>
      <c r="C12102" s="1" t="n">
        <v>46011</v>
      </c>
      <c r="D12102" t="inlineStr">
        <is>
          <t>VÄSTRA GÖTALANDS LÄN</t>
        </is>
      </c>
      <c r="E12102" t="inlineStr">
        <is>
          <t>SVENLJUNGA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3784-2024</t>
        </is>
      </c>
      <c r="B12103" s="1" t="n">
        <v>45321</v>
      </c>
      <c r="C12103" s="1" t="n">
        <v>46011</v>
      </c>
      <c r="D12103" t="inlineStr">
        <is>
          <t>VÄSTRA GÖTALANDS LÄN</t>
        </is>
      </c>
      <c r="E12103" t="inlineStr">
        <is>
          <t>BORÅS</t>
        </is>
      </c>
      <c r="F12103" t="inlineStr">
        <is>
          <t>Kommuner</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57256-2022</t>
        </is>
      </c>
      <c r="B12104" s="1" t="n">
        <v>44895.78923611111</v>
      </c>
      <c r="C12104" s="1" t="n">
        <v>46011</v>
      </c>
      <c r="D12104" t="inlineStr">
        <is>
          <t>VÄSTRA GÖTALANDS LÄN</t>
        </is>
      </c>
      <c r="E12104" t="inlineStr">
        <is>
          <t>VARA</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57257-2022</t>
        </is>
      </c>
      <c r="B12105" s="1" t="n">
        <v>44895.79283564815</v>
      </c>
      <c r="C12105" s="1" t="n">
        <v>46011</v>
      </c>
      <c r="D12105" t="inlineStr">
        <is>
          <t>VÄSTRA GÖTALANDS LÄN</t>
        </is>
      </c>
      <c r="E12105" t="inlineStr">
        <is>
          <t>VARA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12429-2024</t>
        </is>
      </c>
      <c r="B12106" s="1" t="n">
        <v>45379.43885416666</v>
      </c>
      <c r="C12106" s="1" t="n">
        <v>46011</v>
      </c>
      <c r="D12106" t="inlineStr">
        <is>
          <t>VÄSTRA GÖTALANDS LÄN</t>
        </is>
      </c>
      <c r="E12106" t="inlineStr">
        <is>
          <t>MARK</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50587-2022</t>
        </is>
      </c>
      <c r="B12107" s="1" t="n">
        <v>44861</v>
      </c>
      <c r="C12107" s="1" t="n">
        <v>46011</v>
      </c>
      <c r="D12107" t="inlineStr">
        <is>
          <t>VÄSTRA GÖTALANDS LÄN</t>
        </is>
      </c>
      <c r="E12107" t="inlineStr">
        <is>
          <t>GULLSPÅNG</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2362-2024</t>
        </is>
      </c>
      <c r="B12108" s="1" t="n">
        <v>45310</v>
      </c>
      <c r="C12108" s="1" t="n">
        <v>46011</v>
      </c>
      <c r="D12108" t="inlineStr">
        <is>
          <t>VÄSTRA GÖTALANDS LÄN</t>
        </is>
      </c>
      <c r="E12108" t="inlineStr">
        <is>
          <t>ALINGSÅS</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35948-2021</t>
        </is>
      </c>
      <c r="B12109" s="1" t="n">
        <v>44388</v>
      </c>
      <c r="C12109" s="1" t="n">
        <v>46011</v>
      </c>
      <c r="D12109" t="inlineStr">
        <is>
          <t>VÄSTRA GÖTALANDS LÄN</t>
        </is>
      </c>
      <c r="E12109" t="inlineStr">
        <is>
          <t>DALS-ED</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2378-2024</t>
        </is>
      </c>
      <c r="B12110" s="1" t="n">
        <v>45310.63673611111</v>
      </c>
      <c r="C12110" s="1" t="n">
        <v>46011</v>
      </c>
      <c r="D12110" t="inlineStr">
        <is>
          <t>VÄSTRA GÖTALANDS LÄN</t>
        </is>
      </c>
      <c r="E12110" t="inlineStr">
        <is>
          <t>BENGTSFORS</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22861-2024</t>
        </is>
      </c>
      <c r="B12111" s="1" t="n">
        <v>45448.62668981482</v>
      </c>
      <c r="C12111" s="1" t="n">
        <v>46011</v>
      </c>
      <c r="D12111" t="inlineStr">
        <is>
          <t>VÄSTRA GÖTALANDS LÄN</t>
        </is>
      </c>
      <c r="E12111" t="inlineStr">
        <is>
          <t>TÖREBODA</t>
        </is>
      </c>
      <c r="F12111" t="inlineStr">
        <is>
          <t>Övriga statliga verk och myndigheter</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3190-2024</t>
        </is>
      </c>
      <c r="B12112" s="1" t="n">
        <v>45316</v>
      </c>
      <c r="C12112" s="1" t="n">
        <v>46011</v>
      </c>
      <c r="D12112" t="inlineStr">
        <is>
          <t>VÄSTRA GÖTALANDS LÄN</t>
        </is>
      </c>
      <c r="E12112" t="inlineStr">
        <is>
          <t>BORÅS</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19310-2025</t>
        </is>
      </c>
      <c r="B12113" s="1" t="n">
        <v>45769.57109953704</v>
      </c>
      <c r="C12113" s="1" t="n">
        <v>46011</v>
      </c>
      <c r="D12113" t="inlineStr">
        <is>
          <t>VÄSTRA GÖTALANDS LÄN</t>
        </is>
      </c>
      <c r="E12113" t="inlineStr">
        <is>
          <t>TIBRO</t>
        </is>
      </c>
      <c r="F12113" t="inlineStr">
        <is>
          <t>Sveaskog</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50665-2021</t>
        </is>
      </c>
      <c r="B12114" s="1" t="n">
        <v>44460</v>
      </c>
      <c r="C12114" s="1" t="n">
        <v>46011</v>
      </c>
      <c r="D12114" t="inlineStr">
        <is>
          <t>VÄSTRA GÖTALANDS LÄN</t>
        </is>
      </c>
      <c r="E12114" t="inlineStr">
        <is>
          <t>DALS-ED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61734-2023</t>
        </is>
      </c>
      <c r="B12115" s="1" t="n">
        <v>45265</v>
      </c>
      <c r="C12115" s="1" t="n">
        <v>46011</v>
      </c>
      <c r="D12115" t="inlineStr">
        <is>
          <t>VÄSTRA GÖTALANDS LÄN</t>
        </is>
      </c>
      <c r="E12115" t="inlineStr">
        <is>
          <t>ALINGSÅS</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56007-2023</t>
        </is>
      </c>
      <c r="B12116" s="1" t="n">
        <v>45240.40667824074</v>
      </c>
      <c r="C12116" s="1" t="n">
        <v>46011</v>
      </c>
      <c r="D12116" t="inlineStr">
        <is>
          <t>VÄSTRA GÖTALANDS LÄN</t>
        </is>
      </c>
      <c r="E12116" t="inlineStr">
        <is>
          <t>BORÅS</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56023-2023</t>
        </is>
      </c>
      <c r="B12117" s="1" t="n">
        <v>45240.42798611111</v>
      </c>
      <c r="C12117" s="1" t="n">
        <v>46011</v>
      </c>
      <c r="D12117" t="inlineStr">
        <is>
          <t>VÄSTRA GÖTALANDS LÄN</t>
        </is>
      </c>
      <c r="E12117" t="inlineStr">
        <is>
          <t>BORÅS</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42080-2021</t>
        </is>
      </c>
      <c r="B12118" s="1" t="n">
        <v>44426</v>
      </c>
      <c r="C12118" s="1" t="n">
        <v>46011</v>
      </c>
      <c r="D12118" t="inlineStr">
        <is>
          <t>VÄSTRA GÖTALANDS LÄN</t>
        </is>
      </c>
      <c r="E12118" t="inlineStr">
        <is>
          <t>TANUM</t>
        </is>
      </c>
      <c r="F12118" t="inlineStr">
        <is>
          <t>Kyrkan</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44812-2021</t>
        </is>
      </c>
      <c r="B12119" s="1" t="n">
        <v>44438</v>
      </c>
      <c r="C12119" s="1" t="n">
        <v>46011</v>
      </c>
      <c r="D12119" t="inlineStr">
        <is>
          <t>VÄSTRA GÖTALANDS LÄN</t>
        </is>
      </c>
      <c r="E12119" t="inlineStr">
        <is>
          <t>TANUM</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28430-2024</t>
        </is>
      </c>
      <c r="B12120" s="1" t="n">
        <v>45477</v>
      </c>
      <c r="C12120" s="1" t="n">
        <v>46011</v>
      </c>
      <c r="D12120" t="inlineStr">
        <is>
          <t>VÄSTRA GÖTALANDS LÄN</t>
        </is>
      </c>
      <c r="E12120" t="inlineStr">
        <is>
          <t>STRÖMSTAD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8080-2023</t>
        </is>
      </c>
      <c r="B12121" s="1" t="n">
        <v>44974</v>
      </c>
      <c r="C12121" s="1" t="n">
        <v>46011</v>
      </c>
      <c r="D12121" t="inlineStr">
        <is>
          <t>VÄSTRA GÖTALANDS LÄN</t>
        </is>
      </c>
      <c r="E12121" t="inlineStr">
        <is>
          <t>ALINGSÅS</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62532-2022</t>
        </is>
      </c>
      <c r="B12122" s="1" t="n">
        <v>44916</v>
      </c>
      <c r="C12122" s="1" t="n">
        <v>46011</v>
      </c>
      <c r="D12122" t="inlineStr">
        <is>
          <t>VÄSTRA GÖTALANDS LÄN</t>
        </is>
      </c>
      <c r="E12122" t="inlineStr">
        <is>
          <t>BORÅS</t>
        </is>
      </c>
      <c r="G12122" t="n">
        <v>9.800000000000001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19254-2025</t>
        </is>
      </c>
      <c r="B12123" s="1" t="n">
        <v>45769.49473379629</v>
      </c>
      <c r="C12123" s="1" t="n">
        <v>46011</v>
      </c>
      <c r="D12123" t="inlineStr">
        <is>
          <t>VÄSTRA GÖTALANDS LÄN</t>
        </is>
      </c>
      <c r="E12123" t="inlineStr">
        <is>
          <t>TRANEMO</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9633-2024</t>
        </is>
      </c>
      <c r="B12124" s="1" t="n">
        <v>45362.3203125</v>
      </c>
      <c r="C12124" s="1" t="n">
        <v>46011</v>
      </c>
      <c r="D12124" t="inlineStr">
        <is>
          <t>VÄSTRA GÖTALANDS LÄN</t>
        </is>
      </c>
      <c r="E12124" t="inlineStr">
        <is>
          <t>VÅRGÅRDA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10333-2024</t>
        </is>
      </c>
      <c r="B12125" s="1" t="n">
        <v>45365.57087962963</v>
      </c>
      <c r="C12125" s="1" t="n">
        <v>46011</v>
      </c>
      <c r="D12125" t="inlineStr">
        <is>
          <t>VÄSTRA GÖTALANDS LÄN</t>
        </is>
      </c>
      <c r="E12125" t="inlineStr">
        <is>
          <t>UDDEVALLA</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18701-2025</t>
        </is>
      </c>
      <c r="B12126" s="1" t="n">
        <v>45763.63100694444</v>
      </c>
      <c r="C12126" s="1" t="n">
        <v>46011</v>
      </c>
      <c r="D12126" t="inlineStr">
        <is>
          <t>VÄSTRA GÖTALANDS LÄN</t>
        </is>
      </c>
      <c r="E12126" t="inlineStr">
        <is>
          <t>MARK</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46306-2021</t>
        </is>
      </c>
      <c r="B12127" s="1" t="n">
        <v>44442</v>
      </c>
      <c r="C12127" s="1" t="n">
        <v>46011</v>
      </c>
      <c r="D12127" t="inlineStr">
        <is>
          <t>VÄSTRA GÖTALANDS LÄN</t>
        </is>
      </c>
      <c r="E12127" t="inlineStr">
        <is>
          <t>DALS-ED</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46323-2021</t>
        </is>
      </c>
      <c r="B12128" s="1" t="n">
        <v>44442.64697916667</v>
      </c>
      <c r="C12128" s="1" t="n">
        <v>46011</v>
      </c>
      <c r="D12128" t="inlineStr">
        <is>
          <t>VÄSTRA GÖTALANDS LÄN</t>
        </is>
      </c>
      <c r="E12128" t="inlineStr">
        <is>
          <t>BENGTSFORS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29229-2022</t>
        </is>
      </c>
      <c r="B12129" s="1" t="n">
        <v>44750.6046875</v>
      </c>
      <c r="C12129" s="1" t="n">
        <v>46011</v>
      </c>
      <c r="D12129" t="inlineStr">
        <is>
          <t>VÄSTRA GÖTALANDS LÄN</t>
        </is>
      </c>
      <c r="E12129" t="inlineStr">
        <is>
          <t>BENGTSFORS</t>
        </is>
      </c>
      <c r="G12129" t="n">
        <v>22.1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29231-2022</t>
        </is>
      </c>
      <c r="B12130" s="1" t="n">
        <v>44750</v>
      </c>
      <c r="C12130" s="1" t="n">
        <v>46011</v>
      </c>
      <c r="D12130" t="inlineStr">
        <is>
          <t>VÄSTRA GÖTALANDS LÄN</t>
        </is>
      </c>
      <c r="E12130" t="inlineStr">
        <is>
          <t>BORÅS</t>
        </is>
      </c>
      <c r="F12130" t="inlineStr">
        <is>
          <t>Kommuner</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49389-2023</t>
        </is>
      </c>
      <c r="B12131" s="1" t="n">
        <v>45211</v>
      </c>
      <c r="C12131" s="1" t="n">
        <v>46011</v>
      </c>
      <c r="D12131" t="inlineStr">
        <is>
          <t>VÄSTRA GÖTALANDS LÄN</t>
        </is>
      </c>
      <c r="E12131" t="inlineStr">
        <is>
          <t>MARIESTAD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49416-2023</t>
        </is>
      </c>
      <c r="B12132" s="1" t="n">
        <v>45211.44688657407</v>
      </c>
      <c r="C12132" s="1" t="n">
        <v>46011</v>
      </c>
      <c r="D12132" t="inlineStr">
        <is>
          <t>VÄSTRA GÖTALANDS LÄN</t>
        </is>
      </c>
      <c r="E12132" t="inlineStr">
        <is>
          <t>SKÖVDE</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59266-2023</t>
        </is>
      </c>
      <c r="B12133" s="1" t="n">
        <v>45253.55190972222</v>
      </c>
      <c r="C12133" s="1" t="n">
        <v>46011</v>
      </c>
      <c r="D12133" t="inlineStr">
        <is>
          <t>VÄSTRA GÖTALANDS LÄN</t>
        </is>
      </c>
      <c r="E12133" t="inlineStr">
        <is>
          <t>VARA</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50039-2021</t>
        </is>
      </c>
      <c r="B12134" s="1" t="n">
        <v>44456</v>
      </c>
      <c r="C12134" s="1" t="n">
        <v>46011</v>
      </c>
      <c r="D12134" t="inlineStr">
        <is>
          <t>VÄSTRA GÖTALANDS LÄN</t>
        </is>
      </c>
      <c r="E12134" t="inlineStr">
        <is>
          <t>ALINGSÅS</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31230-2021</t>
        </is>
      </c>
      <c r="B12135" s="1" t="n">
        <v>44368</v>
      </c>
      <c r="C12135" s="1" t="n">
        <v>46011</v>
      </c>
      <c r="D12135" t="inlineStr">
        <is>
          <t>VÄSTRA GÖTALANDS LÄN</t>
        </is>
      </c>
      <c r="E12135" t="inlineStr">
        <is>
          <t>FALKÖPING</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45747-2021</t>
        </is>
      </c>
      <c r="B12136" s="1" t="n">
        <v>44441</v>
      </c>
      <c r="C12136" s="1" t="n">
        <v>46011</v>
      </c>
      <c r="D12136" t="inlineStr">
        <is>
          <t>VÄSTRA GÖTALANDS LÄN</t>
        </is>
      </c>
      <c r="E12136" t="inlineStr">
        <is>
          <t>TANUM</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47630-2022</t>
        </is>
      </c>
      <c r="B12137" s="1" t="n">
        <v>44852</v>
      </c>
      <c r="C12137" s="1" t="n">
        <v>46011</v>
      </c>
      <c r="D12137" t="inlineStr">
        <is>
          <t>VÄSTRA GÖTALANDS LÄN</t>
        </is>
      </c>
      <c r="E12137" t="inlineStr">
        <is>
          <t>VÄNERSBORG</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51409-2022</t>
        </is>
      </c>
      <c r="B12138" s="1" t="n">
        <v>44866</v>
      </c>
      <c r="C12138" s="1" t="n">
        <v>46011</v>
      </c>
      <c r="D12138" t="inlineStr">
        <is>
          <t>VÄSTRA GÖTALANDS LÄN</t>
        </is>
      </c>
      <c r="E12138" t="inlineStr">
        <is>
          <t>MUNKEDAL</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55391-2023</t>
        </is>
      </c>
      <c r="B12139" s="1" t="n">
        <v>45238.37284722222</v>
      </c>
      <c r="C12139" s="1" t="n">
        <v>46011</v>
      </c>
      <c r="D12139" t="inlineStr">
        <is>
          <t>VÄSTRA GÖTALANDS LÄN</t>
        </is>
      </c>
      <c r="E12139" t="inlineStr">
        <is>
          <t>MELLERUD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51434-2022</t>
        </is>
      </c>
      <c r="B12140" s="1" t="n">
        <v>44869.47741898148</v>
      </c>
      <c r="C12140" s="1" t="n">
        <v>46011</v>
      </c>
      <c r="D12140" t="inlineStr">
        <is>
          <t>VÄSTRA GÖTALANDS LÄN</t>
        </is>
      </c>
      <c r="E12140" t="inlineStr">
        <is>
          <t>FÄRGELANDA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55479-2023</t>
        </is>
      </c>
      <c r="B12141" s="1" t="n">
        <v>45238.50130787037</v>
      </c>
      <c r="C12141" s="1" t="n">
        <v>46011</v>
      </c>
      <c r="D12141" t="inlineStr">
        <is>
          <t>VÄSTRA GÖTALANDS LÄN</t>
        </is>
      </c>
      <c r="E12141" t="inlineStr">
        <is>
          <t>TIDAHOLM</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17870-2023</t>
        </is>
      </c>
      <c r="B12142" s="1" t="n">
        <v>45038.59851851852</v>
      </c>
      <c r="C12142" s="1" t="n">
        <v>46011</v>
      </c>
      <c r="D12142" t="inlineStr">
        <is>
          <t>VÄSTRA GÖTALANDS LÄN</t>
        </is>
      </c>
      <c r="E12142" t="inlineStr">
        <is>
          <t>ULRICEHAMN</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60491-2021</t>
        </is>
      </c>
      <c r="B12143" s="1" t="n">
        <v>44496.48324074074</v>
      </c>
      <c r="C12143" s="1" t="n">
        <v>46011</v>
      </c>
      <c r="D12143" t="inlineStr">
        <is>
          <t>VÄSTRA GÖTALANDS LÄN</t>
        </is>
      </c>
      <c r="E12143" t="inlineStr">
        <is>
          <t>BENGTSFORS</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58597-2022</t>
        </is>
      </c>
      <c r="B12144" s="1" t="n">
        <v>44894</v>
      </c>
      <c r="C12144" s="1" t="n">
        <v>46011</v>
      </c>
      <c r="D12144" t="inlineStr">
        <is>
          <t>VÄSTRA GÖTALANDS LÄN</t>
        </is>
      </c>
      <c r="E12144" t="inlineStr">
        <is>
          <t>HJO</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50633-2023</t>
        </is>
      </c>
      <c r="B12145" s="1" t="n">
        <v>45210</v>
      </c>
      <c r="C12145" s="1" t="n">
        <v>46011</v>
      </c>
      <c r="D12145" t="inlineStr">
        <is>
          <t>VÄSTRA GÖTALANDS LÄN</t>
        </is>
      </c>
      <c r="E12145" t="inlineStr">
        <is>
          <t>ALINGSÅS</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25141-2022</t>
        </is>
      </c>
      <c r="B12146" s="1" t="n">
        <v>44729.53085648148</v>
      </c>
      <c r="C12146" s="1" t="n">
        <v>46011</v>
      </c>
      <c r="D12146" t="inlineStr">
        <is>
          <t>VÄSTRA GÖTALANDS LÄN</t>
        </is>
      </c>
      <c r="E12146" t="inlineStr">
        <is>
          <t>ALINGSÅS</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6816-2023</t>
        </is>
      </c>
      <c r="B12147" s="1" t="n">
        <v>44967.36393518518</v>
      </c>
      <c r="C12147" s="1" t="n">
        <v>46011</v>
      </c>
      <c r="D12147" t="inlineStr">
        <is>
          <t>VÄSTRA GÖTALANDS LÄN</t>
        </is>
      </c>
      <c r="E12147" t="inlineStr">
        <is>
          <t>BENGTSFORS</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26699-2024</t>
        </is>
      </c>
      <c r="B12148" s="1" t="n">
        <v>45470.38099537037</v>
      </c>
      <c r="C12148" s="1" t="n">
        <v>46011</v>
      </c>
      <c r="D12148" t="inlineStr">
        <is>
          <t>VÄSTRA GÖTALANDS LÄN</t>
        </is>
      </c>
      <c r="E12148" t="inlineStr">
        <is>
          <t>MUNKEDAL</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1191-2023</t>
        </is>
      </c>
      <c r="B12149" s="1" t="n">
        <v>44935</v>
      </c>
      <c r="C12149" s="1" t="n">
        <v>46011</v>
      </c>
      <c r="D12149" t="inlineStr">
        <is>
          <t>VÄSTRA GÖTALANDS LÄN</t>
        </is>
      </c>
      <c r="E12149" t="inlineStr">
        <is>
          <t>BENGTSFORS</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42531-2022</t>
        </is>
      </c>
      <c r="B12150" s="1" t="n">
        <v>44831.61996527778</v>
      </c>
      <c r="C12150" s="1" t="n">
        <v>46011</v>
      </c>
      <c r="D12150" t="inlineStr">
        <is>
          <t>VÄSTRA GÖTALANDS LÄN</t>
        </is>
      </c>
      <c r="E12150" t="inlineStr">
        <is>
          <t>ALINGSÅS</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62631-2023</t>
        </is>
      </c>
      <c r="B12151" s="1" t="n">
        <v>45271</v>
      </c>
      <c r="C12151" s="1" t="n">
        <v>46011</v>
      </c>
      <c r="D12151" t="inlineStr">
        <is>
          <t>VÄSTRA GÖTALANDS LÄN</t>
        </is>
      </c>
      <c r="E12151" t="inlineStr">
        <is>
          <t>ULRICEHAMN</t>
        </is>
      </c>
      <c r="F12151" t="inlineStr">
        <is>
          <t>Kyrkan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62689-2023</t>
        </is>
      </c>
      <c r="B12152" s="1" t="n">
        <v>45271.49912037037</v>
      </c>
      <c r="C12152" s="1" t="n">
        <v>46011</v>
      </c>
      <c r="D12152" t="inlineStr">
        <is>
          <t>VÄSTRA GÖTALANDS LÄN</t>
        </is>
      </c>
      <c r="E12152" t="inlineStr">
        <is>
          <t>HERRLJUNGA</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177-2024</t>
        </is>
      </c>
      <c r="B12153" s="1" t="n">
        <v>45294.55914351852</v>
      </c>
      <c r="C12153" s="1" t="n">
        <v>46011</v>
      </c>
      <c r="D12153" t="inlineStr">
        <is>
          <t>VÄSTRA GÖTALANDS LÄN</t>
        </is>
      </c>
      <c r="E12153" t="inlineStr">
        <is>
          <t>BORÅS</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4976-2023</t>
        </is>
      </c>
      <c r="B12154" s="1" t="n">
        <v>44958.45994212963</v>
      </c>
      <c r="C12154" s="1" t="n">
        <v>46011</v>
      </c>
      <c r="D12154" t="inlineStr">
        <is>
          <t>VÄSTRA GÖTALANDS LÄN</t>
        </is>
      </c>
      <c r="E12154" t="inlineStr">
        <is>
          <t>ÅMÅL</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25340-2023</t>
        </is>
      </c>
      <c r="B12155" s="1" t="n">
        <v>45087</v>
      </c>
      <c r="C12155" s="1" t="n">
        <v>46011</v>
      </c>
      <c r="D12155" t="inlineStr">
        <is>
          <t>VÄSTRA GÖTALANDS LÄN</t>
        </is>
      </c>
      <c r="E12155" t="inlineStr">
        <is>
          <t>ULRICEHAMN</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24438-2023</t>
        </is>
      </c>
      <c r="B12156" s="1" t="n">
        <v>45082</v>
      </c>
      <c r="C12156" s="1" t="n">
        <v>46011</v>
      </c>
      <c r="D12156" t="inlineStr">
        <is>
          <t>VÄSTRA GÖTALANDS LÄN</t>
        </is>
      </c>
      <c r="E12156" t="inlineStr">
        <is>
          <t>SVENLJUNGA</t>
        </is>
      </c>
      <c r="F12156" t="inlineStr">
        <is>
          <t>Kommuner</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4578-2023</t>
        </is>
      </c>
      <c r="B12157" s="1" t="n">
        <v>44951</v>
      </c>
      <c r="C12157" s="1" t="n">
        <v>46011</v>
      </c>
      <c r="D12157" t="inlineStr">
        <is>
          <t>VÄSTRA GÖTALANDS LÄN</t>
        </is>
      </c>
      <c r="E12157" t="inlineStr">
        <is>
          <t>STENUNGSUND</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5983-2023</t>
        </is>
      </c>
      <c r="B12158" s="1" t="n">
        <v>44964</v>
      </c>
      <c r="C12158" s="1" t="n">
        <v>46011</v>
      </c>
      <c r="D12158" t="inlineStr">
        <is>
          <t>VÄSTRA GÖTALANDS LÄN</t>
        </is>
      </c>
      <c r="E12158" t="inlineStr">
        <is>
          <t>SVENLJUNGA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6080-2023</t>
        </is>
      </c>
      <c r="B12159" s="1" t="n">
        <v>44964</v>
      </c>
      <c r="C12159" s="1" t="n">
        <v>46011</v>
      </c>
      <c r="D12159" t="inlineStr">
        <is>
          <t>VÄSTRA GÖTALANDS LÄN</t>
        </is>
      </c>
      <c r="E12159" t="inlineStr">
        <is>
          <t>LIDKÖPING</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18499-2025</t>
        </is>
      </c>
      <c r="B12160" s="1" t="n">
        <v>45763.36215277778</v>
      </c>
      <c r="C12160" s="1" t="n">
        <v>46011</v>
      </c>
      <c r="D12160" t="inlineStr">
        <is>
          <t>VÄSTRA GÖTALANDS LÄN</t>
        </is>
      </c>
      <c r="E12160" t="inlineStr">
        <is>
          <t>SVENLJUNGA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18520-2025</t>
        </is>
      </c>
      <c r="B12161" s="1" t="n">
        <v>45763.39306712963</v>
      </c>
      <c r="C12161" s="1" t="n">
        <v>46011</v>
      </c>
      <c r="D12161" t="inlineStr">
        <is>
          <t>VÄSTRA GÖTALANDS LÄN</t>
        </is>
      </c>
      <c r="E12161" t="inlineStr">
        <is>
          <t>DALS-ED</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18523-2025</t>
        </is>
      </c>
      <c r="B12162" s="1" t="n">
        <v>45763.39765046296</v>
      </c>
      <c r="C12162" s="1" t="n">
        <v>46011</v>
      </c>
      <c r="D12162" t="inlineStr">
        <is>
          <t>VÄSTRA GÖTALANDS LÄN</t>
        </is>
      </c>
      <c r="E12162" t="inlineStr">
        <is>
          <t>DALS-ED</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15061-2023</t>
        </is>
      </c>
      <c r="B12163" s="1" t="n">
        <v>45015.70453703704</v>
      </c>
      <c r="C12163" s="1" t="n">
        <v>46011</v>
      </c>
      <c r="D12163" t="inlineStr">
        <is>
          <t>VÄSTRA GÖTALANDS LÄN</t>
        </is>
      </c>
      <c r="E12163" t="inlineStr">
        <is>
          <t>TANUM</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57782-2022</t>
        </is>
      </c>
      <c r="B12164" s="1" t="n">
        <v>44897</v>
      </c>
      <c r="C12164" s="1" t="n">
        <v>46011</v>
      </c>
      <c r="D12164" t="inlineStr">
        <is>
          <t>VÄSTRA GÖTALANDS LÄN</t>
        </is>
      </c>
      <c r="E12164" t="inlineStr">
        <is>
          <t>BORÅS</t>
        </is>
      </c>
      <c r="G12164" t="n">
        <v>5.6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45123-2021</t>
        </is>
      </c>
      <c r="B12165" s="1" t="n">
        <v>44439.4424074074</v>
      </c>
      <c r="C12165" s="1" t="n">
        <v>46011</v>
      </c>
      <c r="D12165" t="inlineStr">
        <is>
          <t>VÄSTRA GÖTALANDS LÄN</t>
        </is>
      </c>
      <c r="E12165" t="inlineStr">
        <is>
          <t>MUNKEDAL</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3721-2024</t>
        </is>
      </c>
      <c r="B12166" s="1" t="n">
        <v>45321</v>
      </c>
      <c r="C12166" s="1" t="n">
        <v>46011</v>
      </c>
      <c r="D12166" t="inlineStr">
        <is>
          <t>VÄSTRA GÖTALANDS LÄN</t>
        </is>
      </c>
      <c r="E12166" t="inlineStr">
        <is>
          <t>BORÅS</t>
        </is>
      </c>
      <c r="F12166" t="inlineStr">
        <is>
          <t>Kommuner</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64707-2023</t>
        </is>
      </c>
      <c r="B12167" s="1" t="n">
        <v>45281</v>
      </c>
      <c r="C12167" s="1" t="n">
        <v>46011</v>
      </c>
      <c r="D12167" t="inlineStr">
        <is>
          <t>VÄSTRA GÖTALANDS LÄN</t>
        </is>
      </c>
      <c r="E12167" t="inlineStr">
        <is>
          <t>STRÖMSTAD</t>
        </is>
      </c>
      <c r="F12167" t="inlineStr">
        <is>
          <t>Kommuner</t>
        </is>
      </c>
      <c r="G12167" t="n">
        <v>11.9</v>
      </c>
      <c r="H12167" t="n">
        <v>0</v>
      </c>
      <c r="I12167" t="n">
        <v>0</v>
      </c>
      <c r="J12167" t="n">
        <v>0</v>
      </c>
      <c r="K12167" t="n">
        <v>0</v>
      </c>
      <c r="L12167" t="n">
        <v>0</v>
      </c>
      <c r="M12167" t="n">
        <v>0</v>
      </c>
      <c r="N12167" t="n">
        <v>0</v>
      </c>
      <c r="O12167" t="n">
        <v>0</v>
      </c>
      <c r="P12167" t="n">
        <v>0</v>
      </c>
      <c r="Q12167" t="n">
        <v>0</v>
      </c>
      <c r="R12167" s="2" t="inlineStr"/>
      <c r="U12167">
        <f>HYPERLINK("https://klasma.github.io/Logging_1486/knärot/A 64707-2023 karta knärot.png", "A 64707-2023")</f>
        <v/>
      </c>
      <c r="V12167">
        <f>HYPERLINK("https://klasma.github.io/Logging_1486/klagomål/A 64707-2023 FSC-klagomål.docx", "A 64707-2023")</f>
        <v/>
      </c>
      <c r="W12167">
        <f>HYPERLINK("https://klasma.github.io/Logging_1486/klagomålsmail/A 64707-2023 FSC-klagomål mail.docx", "A 64707-2023")</f>
        <v/>
      </c>
      <c r="X12167">
        <f>HYPERLINK("https://klasma.github.io/Logging_1486/tillsyn/A 64707-2023 tillsynsbegäran.docx", "A 64707-2023")</f>
        <v/>
      </c>
      <c r="Y12167">
        <f>HYPERLINK("https://klasma.github.io/Logging_1486/tillsynsmail/A 64707-2023 tillsynsbegäran mail.docx", "A 64707-2023")</f>
        <v/>
      </c>
    </row>
    <row r="12168" ht="15" customHeight="1">
      <c r="A12168" t="inlineStr">
        <is>
          <t>A 4098-2023</t>
        </is>
      </c>
      <c r="B12168" s="1" t="n">
        <v>44952</v>
      </c>
      <c r="C12168" s="1" t="n">
        <v>46011</v>
      </c>
      <c r="D12168" t="inlineStr">
        <is>
          <t>VÄSTRA GÖTALANDS LÄN</t>
        </is>
      </c>
      <c r="E12168" t="inlineStr">
        <is>
          <t>TRANEMO</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4107-2023</t>
        </is>
      </c>
      <c r="B12169" s="1" t="n">
        <v>44952</v>
      </c>
      <c r="C12169" s="1" t="n">
        <v>46011</v>
      </c>
      <c r="D12169" t="inlineStr">
        <is>
          <t>VÄSTRA GÖTALANDS LÄN</t>
        </is>
      </c>
      <c r="E12169" t="inlineStr">
        <is>
          <t>DALS-ED</t>
        </is>
      </c>
      <c r="G12169" t="n">
        <v>9.199999999999999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4110-2023</t>
        </is>
      </c>
      <c r="B12170" s="1" t="n">
        <v>44952</v>
      </c>
      <c r="C12170" s="1" t="n">
        <v>46011</v>
      </c>
      <c r="D12170" t="inlineStr">
        <is>
          <t>VÄSTRA GÖTALANDS LÄN</t>
        </is>
      </c>
      <c r="E12170" t="inlineStr">
        <is>
          <t>DALS-ED</t>
        </is>
      </c>
      <c r="G12170" t="n">
        <v>27.4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4112-2023</t>
        </is>
      </c>
      <c r="B12171" s="1" t="n">
        <v>44952</v>
      </c>
      <c r="C12171" s="1" t="n">
        <v>46011</v>
      </c>
      <c r="D12171" t="inlineStr">
        <is>
          <t>VÄSTRA GÖTALANDS LÄN</t>
        </is>
      </c>
      <c r="E12171" t="inlineStr">
        <is>
          <t>DALS-ED</t>
        </is>
      </c>
      <c r="G12171" t="n">
        <v>7.4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989-2024</t>
        </is>
      </c>
      <c r="B12172" s="1" t="n">
        <v>45301</v>
      </c>
      <c r="C12172" s="1" t="n">
        <v>46011</v>
      </c>
      <c r="D12172" t="inlineStr">
        <is>
          <t>VÄSTRA GÖTALANDS LÄN</t>
        </is>
      </c>
      <c r="E12172" t="inlineStr">
        <is>
          <t>STRÖMSTAD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705-2024</t>
        </is>
      </c>
      <c r="B12173" s="1" t="n">
        <v>45300</v>
      </c>
      <c r="C12173" s="1" t="n">
        <v>46011</v>
      </c>
      <c r="D12173" t="inlineStr">
        <is>
          <t>VÄSTRA GÖTALANDS LÄN</t>
        </is>
      </c>
      <c r="E12173" t="inlineStr">
        <is>
          <t>ÅMÅL</t>
        </is>
      </c>
      <c r="F12173" t="inlineStr">
        <is>
          <t>Kyrkan</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59616-2022</t>
        </is>
      </c>
      <c r="B12174" s="1" t="n">
        <v>44907.86938657407</v>
      </c>
      <c r="C12174" s="1" t="n">
        <v>46011</v>
      </c>
      <c r="D12174" t="inlineStr">
        <is>
          <t>VÄSTRA GÖTALANDS LÄN</t>
        </is>
      </c>
      <c r="E12174" t="inlineStr">
        <is>
          <t>BENGTSFORS</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59619-2022</t>
        </is>
      </c>
      <c r="B12175" s="1" t="n">
        <v>44907.88240740741</v>
      </c>
      <c r="C12175" s="1" t="n">
        <v>46011</v>
      </c>
      <c r="D12175" t="inlineStr">
        <is>
          <t>VÄSTRA GÖTALANDS LÄN</t>
        </is>
      </c>
      <c r="E12175" t="inlineStr">
        <is>
          <t>VÅRGÅRDA</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16280-2025</t>
        </is>
      </c>
      <c r="B12176" s="1" t="n">
        <v>45751.28666666667</v>
      </c>
      <c r="C12176" s="1" t="n">
        <v>46011</v>
      </c>
      <c r="D12176" t="inlineStr">
        <is>
          <t>VÄSTRA GÖTALANDS LÄN</t>
        </is>
      </c>
      <c r="E12176" t="inlineStr">
        <is>
          <t>VÅRGÅRDA</t>
        </is>
      </c>
      <c r="F12176" t="inlineStr">
        <is>
          <t>Sveaskog</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22870-2024</t>
        </is>
      </c>
      <c r="B12177" s="1" t="n">
        <v>45448</v>
      </c>
      <c r="C12177" s="1" t="n">
        <v>46011</v>
      </c>
      <c r="D12177" t="inlineStr">
        <is>
          <t>VÄSTRA GÖTALANDS LÄN</t>
        </is>
      </c>
      <c r="E12177" t="inlineStr">
        <is>
          <t>SKARA</t>
        </is>
      </c>
      <c r="F12177" t="inlineStr">
        <is>
          <t>Sveaskog</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15289-2025</t>
        </is>
      </c>
      <c r="B12178" s="1" t="n">
        <v>45745.37030092593</v>
      </c>
      <c r="C12178" s="1" t="n">
        <v>46011</v>
      </c>
      <c r="D12178" t="inlineStr">
        <is>
          <t>VÄSTRA GÖTALANDS LÄN</t>
        </is>
      </c>
      <c r="E12178" t="inlineStr">
        <is>
          <t>ULRICEHAMN</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15336-2025</t>
        </is>
      </c>
      <c r="B12179" s="1" t="n">
        <v>45747.36298611111</v>
      </c>
      <c r="C12179" s="1" t="n">
        <v>46011</v>
      </c>
      <c r="D12179" t="inlineStr">
        <is>
          <t>VÄSTRA GÖTALANDS LÄN</t>
        </is>
      </c>
      <c r="E12179" t="inlineStr">
        <is>
          <t>TRANEMO</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15367-2025</t>
        </is>
      </c>
      <c r="B12180" s="1" t="n">
        <v>45747.40263888889</v>
      </c>
      <c r="C12180" s="1" t="n">
        <v>46011</v>
      </c>
      <c r="D12180" t="inlineStr">
        <is>
          <t>VÄSTRA GÖTALANDS LÄN</t>
        </is>
      </c>
      <c r="E12180" t="inlineStr">
        <is>
          <t>TRANEMO</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15370-2025</t>
        </is>
      </c>
      <c r="B12181" s="1" t="n">
        <v>45747.40377314815</v>
      </c>
      <c r="C12181" s="1" t="n">
        <v>46011</v>
      </c>
      <c r="D12181" t="inlineStr">
        <is>
          <t>VÄSTRA GÖTALANDS LÄN</t>
        </is>
      </c>
      <c r="E12181" t="inlineStr">
        <is>
          <t>TRANEMO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15384-2025</t>
        </is>
      </c>
      <c r="B12182" s="1" t="n">
        <v>45747.42072916667</v>
      </c>
      <c r="C12182" s="1" t="n">
        <v>46011</v>
      </c>
      <c r="D12182" t="inlineStr">
        <is>
          <t>VÄSTRA GÖTALANDS LÄN</t>
        </is>
      </c>
      <c r="E12182" t="inlineStr">
        <is>
          <t>HERRLJUNGA</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2095-2024</t>
        </is>
      </c>
      <c r="B12183" s="1" t="n">
        <v>45309.44375</v>
      </c>
      <c r="C12183" s="1" t="n">
        <v>46011</v>
      </c>
      <c r="D12183" t="inlineStr">
        <is>
          <t>VÄSTRA GÖTALANDS LÄN</t>
        </is>
      </c>
      <c r="E12183" t="inlineStr">
        <is>
          <t>TANUM</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4368-2024</t>
        </is>
      </c>
      <c r="B12184" s="1" t="n">
        <v>45326.61966435185</v>
      </c>
      <c r="C12184" s="1" t="n">
        <v>46011</v>
      </c>
      <c r="D12184" t="inlineStr">
        <is>
          <t>VÄSTRA GÖTALANDS LÄN</t>
        </is>
      </c>
      <c r="E12184" t="inlineStr">
        <is>
          <t>DALS-ED</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62500-2023</t>
        </is>
      </c>
      <c r="B12185" s="1" t="n">
        <v>45267</v>
      </c>
      <c r="C12185" s="1" t="n">
        <v>46011</v>
      </c>
      <c r="D12185" t="inlineStr">
        <is>
          <t>VÄSTRA GÖTALANDS LÄN</t>
        </is>
      </c>
      <c r="E12185" t="inlineStr">
        <is>
          <t>TANUM</t>
        </is>
      </c>
      <c r="F12185" t="inlineStr">
        <is>
          <t>Kyrkan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16912-2025</t>
        </is>
      </c>
      <c r="B12186" s="1" t="n">
        <v>45755.36498842593</v>
      </c>
      <c r="C12186" s="1" t="n">
        <v>46011</v>
      </c>
      <c r="D12186" t="inlineStr">
        <is>
          <t>VÄSTRA GÖTALANDS LÄN</t>
        </is>
      </c>
      <c r="E12186" t="inlineStr">
        <is>
          <t>VÅRGÅRDA</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16918-2025</t>
        </is>
      </c>
      <c r="B12187" s="1" t="n">
        <v>45755.37185185185</v>
      </c>
      <c r="C12187" s="1" t="n">
        <v>46011</v>
      </c>
      <c r="D12187" t="inlineStr">
        <is>
          <t>VÄSTRA GÖTALANDS LÄN</t>
        </is>
      </c>
      <c r="E12187" t="inlineStr">
        <is>
          <t>KARLSBORG</t>
        </is>
      </c>
      <c r="F12187" t="inlineStr">
        <is>
          <t>Sveaskog</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16921-2025</t>
        </is>
      </c>
      <c r="B12188" s="1" t="n">
        <v>45755.37600694445</v>
      </c>
      <c r="C12188" s="1" t="n">
        <v>46011</v>
      </c>
      <c r="D12188" t="inlineStr">
        <is>
          <t>VÄSTRA GÖTALANDS LÄN</t>
        </is>
      </c>
      <c r="E12188" t="inlineStr">
        <is>
          <t>TIBRO</t>
        </is>
      </c>
      <c r="F12188" t="inlineStr">
        <is>
          <t>Sveaskog</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54796-2022</t>
        </is>
      </c>
      <c r="B12189" s="1" t="n">
        <v>44883</v>
      </c>
      <c r="C12189" s="1" t="n">
        <v>46011</v>
      </c>
      <c r="D12189" t="inlineStr">
        <is>
          <t>VÄSTRA GÖTALANDS LÄN</t>
        </is>
      </c>
      <c r="E12189" t="inlineStr">
        <is>
          <t>MELLERUD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18691-2023</t>
        </is>
      </c>
      <c r="B12190" s="1" t="n">
        <v>45043.61253472222</v>
      </c>
      <c r="C12190" s="1" t="n">
        <v>46011</v>
      </c>
      <c r="D12190" t="inlineStr">
        <is>
          <t>VÄSTRA GÖTALANDS LÄN</t>
        </is>
      </c>
      <c r="E12190" t="inlineStr">
        <is>
          <t>VARA</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16662-2023</t>
        </is>
      </c>
      <c r="B12191" s="1" t="n">
        <v>45030</v>
      </c>
      <c r="C12191" s="1" t="n">
        <v>46011</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42042-2022</t>
        </is>
      </c>
      <c r="B12192" s="1" t="n">
        <v>44830</v>
      </c>
      <c r="C12192" s="1" t="n">
        <v>46011</v>
      </c>
      <c r="D12192" t="inlineStr">
        <is>
          <t>VÄSTRA GÖTALANDS LÄN</t>
        </is>
      </c>
      <c r="E12192" t="inlineStr">
        <is>
          <t>BENGTSFORS</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8812-2024</t>
        </is>
      </c>
      <c r="B12193" s="1" t="n">
        <v>45356.65800925926</v>
      </c>
      <c r="C12193" s="1" t="n">
        <v>46011</v>
      </c>
      <c r="D12193" t="inlineStr">
        <is>
          <t>VÄSTRA GÖTALANDS LÄN</t>
        </is>
      </c>
      <c r="E12193" t="inlineStr">
        <is>
          <t>MARK</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61552-2023</t>
        </is>
      </c>
      <c r="B12194" s="1" t="n">
        <v>45265</v>
      </c>
      <c r="C12194" s="1" t="n">
        <v>46011</v>
      </c>
      <c r="D12194" t="inlineStr">
        <is>
          <t>VÄSTRA GÖTALANDS LÄN</t>
        </is>
      </c>
      <c r="E12194" t="inlineStr">
        <is>
          <t>GRÄSTORP</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9170-2024</t>
        </is>
      </c>
      <c r="B12195" s="1" t="n">
        <v>45358.42530092593</v>
      </c>
      <c r="C12195" s="1" t="n">
        <v>46011</v>
      </c>
      <c r="D12195" t="inlineStr">
        <is>
          <t>VÄSTRA GÖTALANDS LÄN</t>
        </is>
      </c>
      <c r="E12195" t="inlineStr">
        <is>
          <t>TRANEMO</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61621-2023</t>
        </is>
      </c>
      <c r="B12196" s="1" t="n">
        <v>45261</v>
      </c>
      <c r="C12196" s="1" t="n">
        <v>46011</v>
      </c>
      <c r="D12196" t="inlineStr">
        <is>
          <t>VÄSTRA GÖTALANDS LÄN</t>
        </is>
      </c>
      <c r="E12196" t="inlineStr">
        <is>
          <t>MUNKEDAL</t>
        </is>
      </c>
      <c r="F12196" t="inlineStr">
        <is>
          <t>Övriga Aktiebolag</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17003-2025</t>
        </is>
      </c>
      <c r="B12197" s="1" t="n">
        <v>45755.53173611111</v>
      </c>
      <c r="C12197" s="1" t="n">
        <v>46011</v>
      </c>
      <c r="D12197" t="inlineStr">
        <is>
          <t>VÄSTRA GÖTALANDS LÄN</t>
        </is>
      </c>
      <c r="E12197" t="inlineStr">
        <is>
          <t>MARK</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17006-2025</t>
        </is>
      </c>
      <c r="B12198" s="1" t="n">
        <v>45755.53457175926</v>
      </c>
      <c r="C12198" s="1" t="n">
        <v>46011</v>
      </c>
      <c r="D12198" t="inlineStr">
        <is>
          <t>VÄSTRA GÖTALANDS LÄN</t>
        </is>
      </c>
      <c r="E12198" t="inlineStr">
        <is>
          <t>MARK</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5819-2025</t>
        </is>
      </c>
      <c r="B12199" s="1" t="n">
        <v>45694.76770833333</v>
      </c>
      <c r="C12199" s="1" t="n">
        <v>46011</v>
      </c>
      <c r="D12199" t="inlineStr">
        <is>
          <t>VÄSTRA GÖTALANDS LÄN</t>
        </is>
      </c>
      <c r="E12199" t="inlineStr">
        <is>
          <t>TÖREBODA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13010-2025</t>
        </is>
      </c>
      <c r="B12200" s="1" t="n">
        <v>45734.52155092593</v>
      </c>
      <c r="C12200" s="1" t="n">
        <v>46011</v>
      </c>
      <c r="D12200" t="inlineStr">
        <is>
          <t>VÄSTRA GÖTALANDS LÄN</t>
        </is>
      </c>
      <c r="E12200" t="inlineStr">
        <is>
          <t>KARLSBORG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3670-2022</t>
        </is>
      </c>
      <c r="B12201" s="1" t="n">
        <v>44586</v>
      </c>
      <c r="C12201" s="1" t="n">
        <v>46011</v>
      </c>
      <c r="D12201" t="inlineStr">
        <is>
          <t>VÄSTRA GÖTALANDS LÄN</t>
        </is>
      </c>
      <c r="E12201" t="inlineStr">
        <is>
          <t>SKÖVDE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60475-2023</t>
        </is>
      </c>
      <c r="B12202" s="1" t="n">
        <v>45259.59832175926</v>
      </c>
      <c r="C12202" s="1" t="n">
        <v>46011</v>
      </c>
      <c r="D12202" t="inlineStr">
        <is>
          <t>VÄSTRA GÖTALANDS LÄN</t>
        </is>
      </c>
      <c r="E12202" t="inlineStr">
        <is>
          <t>TRANEMO</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13075-2025</t>
        </is>
      </c>
      <c r="B12203" s="1" t="n">
        <v>45734.61987268519</v>
      </c>
      <c r="C12203" s="1" t="n">
        <v>46011</v>
      </c>
      <c r="D12203" t="inlineStr">
        <is>
          <t>VÄSTRA GÖTALANDS LÄN</t>
        </is>
      </c>
      <c r="E12203" t="inlineStr">
        <is>
          <t>MELLERUD</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16435-2025</t>
        </is>
      </c>
      <c r="B12204" s="1" t="n">
        <v>45751.48401620371</v>
      </c>
      <c r="C12204" s="1" t="n">
        <v>46011</v>
      </c>
      <c r="D12204" t="inlineStr">
        <is>
          <t>VÄSTRA GÖTALANDS LÄN</t>
        </is>
      </c>
      <c r="E12204" t="inlineStr">
        <is>
          <t>HÄRRYDA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16444-2025</t>
        </is>
      </c>
      <c r="B12205" s="1" t="n">
        <v>45751.50175925926</v>
      </c>
      <c r="C12205" s="1" t="n">
        <v>46011</v>
      </c>
      <c r="D12205" t="inlineStr">
        <is>
          <t>VÄSTRA GÖTALANDS LÄN</t>
        </is>
      </c>
      <c r="E12205" t="inlineStr">
        <is>
          <t>GULLSPÅNG</t>
        </is>
      </c>
      <c r="F12205" t="inlineStr">
        <is>
          <t>Kyrkan</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57173-2023</t>
        </is>
      </c>
      <c r="B12206" s="1" t="n">
        <v>45245.45607638889</v>
      </c>
      <c r="C12206" s="1" t="n">
        <v>46011</v>
      </c>
      <c r="D12206" t="inlineStr">
        <is>
          <t>VÄSTRA GÖTALANDS LÄN</t>
        </is>
      </c>
      <c r="E12206" t="inlineStr">
        <is>
          <t>ULRICEHAMN</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57175-2023</t>
        </is>
      </c>
      <c r="B12207" s="1" t="n">
        <v>45240</v>
      </c>
      <c r="C12207" s="1" t="n">
        <v>46011</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57242-2023</t>
        </is>
      </c>
      <c r="B12208" s="1" t="n">
        <v>45245</v>
      </c>
      <c r="C12208" s="1" t="n">
        <v>46011</v>
      </c>
      <c r="D12208" t="inlineStr">
        <is>
          <t>VÄSTRA GÖTALANDS LÄN</t>
        </is>
      </c>
      <c r="E12208" t="inlineStr">
        <is>
          <t>TRANEMO</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5114-2023</t>
        </is>
      </c>
      <c r="B12209" s="1" t="n">
        <v>44958.66506944445</v>
      </c>
      <c r="C12209" s="1" t="n">
        <v>46011</v>
      </c>
      <c r="D12209" t="inlineStr">
        <is>
          <t>VÄSTRA GÖTALANDS LÄN</t>
        </is>
      </c>
      <c r="E12209" t="inlineStr">
        <is>
          <t>DALS-ED</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71835-2021</t>
        </is>
      </c>
      <c r="B12210" s="1" t="n">
        <v>44543.62230324074</v>
      </c>
      <c r="C12210" s="1" t="n">
        <v>46011</v>
      </c>
      <c r="D12210" t="inlineStr">
        <is>
          <t>VÄSTRA GÖTALANDS LÄN</t>
        </is>
      </c>
      <c r="E12210" t="inlineStr">
        <is>
          <t>KUNGÄLV</t>
        </is>
      </c>
      <c r="G12210" t="n">
        <v>7.5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45211-2022</t>
        </is>
      </c>
      <c r="B12211" s="1" t="n">
        <v>44844.44121527778</v>
      </c>
      <c r="C12211" s="1" t="n">
        <v>46011</v>
      </c>
      <c r="D12211" t="inlineStr">
        <is>
          <t>VÄSTRA GÖTALANDS LÄN</t>
        </is>
      </c>
      <c r="E12211" t="inlineStr">
        <is>
          <t>GÖTENE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56616-2022</t>
        </is>
      </c>
      <c r="B12212" s="1" t="n">
        <v>44893.59137731481</v>
      </c>
      <c r="C12212" s="1" t="n">
        <v>46011</v>
      </c>
      <c r="D12212" t="inlineStr">
        <is>
          <t>VÄSTRA GÖTALANDS LÄN</t>
        </is>
      </c>
      <c r="E12212" t="inlineStr">
        <is>
          <t>FÄRGELANDA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64874-2023</t>
        </is>
      </c>
      <c r="B12213" s="1" t="n">
        <v>45282</v>
      </c>
      <c r="C12213" s="1" t="n">
        <v>46011</v>
      </c>
      <c r="D12213" t="inlineStr">
        <is>
          <t>VÄSTRA GÖTALANDS LÄN</t>
        </is>
      </c>
      <c r="E12213" t="inlineStr">
        <is>
          <t>TIDAHOLM</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10469-2023</t>
        </is>
      </c>
      <c r="B12214" s="1" t="n">
        <v>44987</v>
      </c>
      <c r="C12214" s="1" t="n">
        <v>46011</v>
      </c>
      <c r="D12214" t="inlineStr">
        <is>
          <t>VÄSTRA GÖTALANDS LÄN</t>
        </is>
      </c>
      <c r="E12214" t="inlineStr">
        <is>
          <t>MARK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59711-2022</t>
        </is>
      </c>
      <c r="B12215" s="1" t="n">
        <v>44908.40974537037</v>
      </c>
      <c r="C12215" s="1" t="n">
        <v>46011</v>
      </c>
      <c r="D12215" t="inlineStr">
        <is>
          <t>VÄSTRA GÖTALANDS LÄN</t>
        </is>
      </c>
      <c r="E12215" t="inlineStr">
        <is>
          <t>HÄRRYDA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15215-2023</t>
        </is>
      </c>
      <c r="B12216" s="1" t="n">
        <v>45019.2590162037</v>
      </c>
      <c r="C12216" s="1" t="n">
        <v>46011</v>
      </c>
      <c r="D12216" t="inlineStr">
        <is>
          <t>VÄSTRA GÖTALANDS LÄN</t>
        </is>
      </c>
      <c r="E12216" t="inlineStr">
        <is>
          <t>HERRLJUNGA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36979-2021</t>
        </is>
      </c>
      <c r="B12217" s="1" t="n">
        <v>44393.58640046296</v>
      </c>
      <c r="C12217" s="1" t="n">
        <v>46011</v>
      </c>
      <c r="D12217" t="inlineStr">
        <is>
          <t>VÄSTRA GÖTALANDS LÄN</t>
        </is>
      </c>
      <c r="E12217" t="inlineStr">
        <is>
          <t>MARK</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63173-2023</t>
        </is>
      </c>
      <c r="B12218" s="1" t="n">
        <v>45273.5737962963</v>
      </c>
      <c r="C12218" s="1" t="n">
        <v>46011</v>
      </c>
      <c r="D12218" t="inlineStr">
        <is>
          <t>VÄSTRA GÖTALANDS LÄN</t>
        </is>
      </c>
      <c r="E12218" t="inlineStr">
        <is>
          <t>TANUM</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13577-2025</t>
        </is>
      </c>
      <c r="B12219" s="1" t="n">
        <v>45736.58108796296</v>
      </c>
      <c r="C12219" s="1" t="n">
        <v>46011</v>
      </c>
      <c r="D12219" t="inlineStr">
        <is>
          <t>VÄSTRA GÖTALANDS LÄN</t>
        </is>
      </c>
      <c r="E12219" t="inlineStr">
        <is>
          <t>HERRLJUNGA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13582-2025</t>
        </is>
      </c>
      <c r="B12220" s="1" t="n">
        <v>45736.59074074074</v>
      </c>
      <c r="C12220" s="1" t="n">
        <v>46011</v>
      </c>
      <c r="D12220" t="inlineStr">
        <is>
          <t>VÄSTRA GÖTALANDS LÄN</t>
        </is>
      </c>
      <c r="E12220" t="inlineStr">
        <is>
          <t>HÄRRYDA</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7713-2024</t>
        </is>
      </c>
      <c r="B12221" s="1" t="n">
        <v>45349.37376157408</v>
      </c>
      <c r="C12221" s="1" t="n">
        <v>46011</v>
      </c>
      <c r="D12221" t="inlineStr">
        <is>
          <t>VÄSTRA GÖTALANDS LÄN</t>
        </is>
      </c>
      <c r="E12221" t="inlineStr">
        <is>
          <t>ALINGSÅS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64712-2023</t>
        </is>
      </c>
      <c r="B12222" s="1" t="n">
        <v>45281.68771990741</v>
      </c>
      <c r="C12222" s="1" t="n">
        <v>46011</v>
      </c>
      <c r="D12222" t="inlineStr">
        <is>
          <t>VÄSTRA GÖTALANDS LÄN</t>
        </is>
      </c>
      <c r="E12222" t="inlineStr">
        <is>
          <t>GÖTENE</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64731-2023</t>
        </is>
      </c>
      <c r="B12223" s="1" t="n">
        <v>45281</v>
      </c>
      <c r="C12223" s="1" t="n">
        <v>46011</v>
      </c>
      <c r="D12223" t="inlineStr">
        <is>
          <t>VÄSTRA GÖTALANDS LÄN</t>
        </is>
      </c>
      <c r="E12223" t="inlineStr">
        <is>
          <t>MARK</t>
        </is>
      </c>
      <c r="G12223" t="n">
        <v>10.1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64734-2023</t>
        </is>
      </c>
      <c r="B12224" s="1" t="n">
        <v>45281.83204861111</v>
      </c>
      <c r="C12224" s="1" t="n">
        <v>46011</v>
      </c>
      <c r="D12224" t="inlineStr">
        <is>
          <t>VÄSTRA GÖTALANDS LÄN</t>
        </is>
      </c>
      <c r="E12224" t="inlineStr">
        <is>
          <t>ULRICEHAMN</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64736-2023</t>
        </is>
      </c>
      <c r="B12225" s="1" t="n">
        <v>45281.8468287037</v>
      </c>
      <c r="C12225" s="1" t="n">
        <v>46011</v>
      </c>
      <c r="D12225" t="inlineStr">
        <is>
          <t>VÄSTRA GÖTALANDS LÄN</t>
        </is>
      </c>
      <c r="E12225" t="inlineStr">
        <is>
          <t>ULRICEHAMN</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47009-2024</t>
        </is>
      </c>
      <c r="B12226" s="1" t="n">
        <v>45583</v>
      </c>
      <c r="C12226" s="1" t="n">
        <v>46011</v>
      </c>
      <c r="D12226" t="inlineStr">
        <is>
          <t>VÄSTRA GÖTALANDS LÄN</t>
        </is>
      </c>
      <c r="E12226" t="inlineStr">
        <is>
          <t>MARIESTAD</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15737-2025</t>
        </is>
      </c>
      <c r="B12227" s="1" t="n">
        <v>45748.54488425926</v>
      </c>
      <c r="C12227" s="1" t="n">
        <v>46011</v>
      </c>
      <c r="D12227" t="inlineStr">
        <is>
          <t>VÄSTRA GÖTALANDS LÄN</t>
        </is>
      </c>
      <c r="E12227" t="inlineStr">
        <is>
          <t>VARA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64738-2023</t>
        </is>
      </c>
      <c r="B12228" s="1" t="n">
        <v>45281</v>
      </c>
      <c r="C12228" s="1" t="n">
        <v>46011</v>
      </c>
      <c r="D12228" t="inlineStr">
        <is>
          <t>VÄSTRA GÖTALANDS LÄN</t>
        </is>
      </c>
      <c r="E12228" t="inlineStr">
        <is>
          <t>ULRICEHAMN</t>
        </is>
      </c>
      <c r="G12228" t="n">
        <v>14.1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950-2024</t>
        </is>
      </c>
      <c r="B12229" s="1" t="n">
        <v>45301</v>
      </c>
      <c r="C12229" s="1" t="n">
        <v>46011</v>
      </c>
      <c r="D12229" t="inlineStr">
        <is>
          <t>VÄSTRA GÖTALANDS LÄN</t>
        </is>
      </c>
      <c r="E12229" t="inlineStr">
        <is>
          <t>SKÖVDE</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13780-2025</t>
        </is>
      </c>
      <c r="B12230" s="1" t="n">
        <v>45737.44548611111</v>
      </c>
      <c r="C12230" s="1" t="n">
        <v>46011</v>
      </c>
      <c r="D12230" t="inlineStr">
        <is>
          <t>VÄSTRA GÖTALANDS LÄN</t>
        </is>
      </c>
      <c r="E12230" t="inlineStr">
        <is>
          <t>TIDAHOLM</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13664-2023</t>
        </is>
      </c>
      <c r="B12231" s="1" t="n">
        <v>45006</v>
      </c>
      <c r="C12231" s="1" t="n">
        <v>46011</v>
      </c>
      <c r="D12231" t="inlineStr">
        <is>
          <t>VÄSTRA GÖTALANDS LÄN</t>
        </is>
      </c>
      <c r="E12231" t="inlineStr">
        <is>
          <t>TRANEMO</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61417-2023</t>
        </is>
      </c>
      <c r="B12232" s="1" t="n">
        <v>45264.67543981481</v>
      </c>
      <c r="C12232" s="1" t="n">
        <v>46011</v>
      </c>
      <c r="D12232" t="inlineStr">
        <is>
          <t>VÄSTRA GÖTALANDS LÄN</t>
        </is>
      </c>
      <c r="E12232" t="inlineStr">
        <is>
          <t>MARK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31001-2024</t>
        </is>
      </c>
      <c r="B12233" s="1" t="n">
        <v>45499</v>
      </c>
      <c r="C12233" s="1" t="n">
        <v>46011</v>
      </c>
      <c r="D12233" t="inlineStr">
        <is>
          <t>VÄSTRA GÖTALANDS LÄN</t>
        </is>
      </c>
      <c r="E12233" t="inlineStr">
        <is>
          <t>ÅMÅL</t>
        </is>
      </c>
      <c r="F12233" t="inlineStr">
        <is>
          <t>Kyrkan</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7420-2024</t>
        </is>
      </c>
      <c r="B12234" s="1" t="n">
        <v>45345.62907407407</v>
      </c>
      <c r="C12234" s="1" t="n">
        <v>46011</v>
      </c>
      <c r="D12234" t="inlineStr">
        <is>
          <t>VÄSTRA GÖTALANDS LÄN</t>
        </is>
      </c>
      <c r="E12234" t="inlineStr">
        <is>
          <t>VÄNERSBORG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40293-2022</t>
        </is>
      </c>
      <c r="B12235" s="1" t="n">
        <v>44821</v>
      </c>
      <c r="C12235" s="1" t="n">
        <v>46011</v>
      </c>
      <c r="D12235" t="inlineStr">
        <is>
          <t>VÄSTRA GÖTALANDS LÄN</t>
        </is>
      </c>
      <c r="E12235" t="inlineStr">
        <is>
          <t>ALINGSÅS</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35366-2024</t>
        </is>
      </c>
      <c r="B12236" s="1" t="n">
        <v>45531</v>
      </c>
      <c r="C12236" s="1" t="n">
        <v>46011</v>
      </c>
      <c r="D12236" t="inlineStr">
        <is>
          <t>VÄSTRA GÖTALANDS LÄN</t>
        </is>
      </c>
      <c r="E12236" t="inlineStr">
        <is>
          <t>GULLSPÅNG</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37508-2023</t>
        </is>
      </c>
      <c r="B12237" s="1" t="n">
        <v>45158.42202546296</v>
      </c>
      <c r="C12237" s="1" t="n">
        <v>46011</v>
      </c>
      <c r="D12237" t="inlineStr">
        <is>
          <t>VÄSTRA GÖTALANDS LÄN</t>
        </is>
      </c>
      <c r="E12237" t="inlineStr">
        <is>
          <t>LILLA EDET</t>
        </is>
      </c>
      <c r="G12237" t="n">
        <v>6.9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37509-2023</t>
        </is>
      </c>
      <c r="B12238" s="1" t="n">
        <v>45158.43357638889</v>
      </c>
      <c r="C12238" s="1" t="n">
        <v>46011</v>
      </c>
      <c r="D12238" t="inlineStr">
        <is>
          <t>VÄSTRA GÖTALANDS LÄN</t>
        </is>
      </c>
      <c r="E12238" t="inlineStr">
        <is>
          <t>LILLA EDET</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37653-2023</t>
        </is>
      </c>
      <c r="B12239" s="1" t="n">
        <v>45159.51601851852</v>
      </c>
      <c r="C12239" s="1" t="n">
        <v>46011</v>
      </c>
      <c r="D12239" t="inlineStr">
        <is>
          <t>VÄSTRA GÖTALANDS LÄN</t>
        </is>
      </c>
      <c r="E12239" t="inlineStr">
        <is>
          <t>VÅRGÅRDA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44506-2023</t>
        </is>
      </c>
      <c r="B12240" s="1" t="n">
        <v>45189</v>
      </c>
      <c r="C12240" s="1" t="n">
        <v>46011</v>
      </c>
      <c r="D12240" t="inlineStr">
        <is>
          <t>VÄSTRA GÖTALANDS LÄN</t>
        </is>
      </c>
      <c r="E12240" t="inlineStr">
        <is>
          <t>BORÅS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58497-2023</t>
        </is>
      </c>
      <c r="B12241" s="1" t="n">
        <v>45251</v>
      </c>
      <c r="C12241" s="1" t="n">
        <v>46011</v>
      </c>
      <c r="D12241" t="inlineStr">
        <is>
          <t>VÄSTRA GÖTALANDS LÄN</t>
        </is>
      </c>
      <c r="E12241" t="inlineStr">
        <is>
          <t>MARK</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60524-2023</t>
        </is>
      </c>
      <c r="B12242" s="1" t="n">
        <v>45259</v>
      </c>
      <c r="C12242" s="1" t="n">
        <v>46011</v>
      </c>
      <c r="D12242" t="inlineStr">
        <is>
          <t>VÄSTRA GÖTALANDS LÄN</t>
        </is>
      </c>
      <c r="E12242" t="inlineStr">
        <is>
          <t>FALKÖPING</t>
        </is>
      </c>
      <c r="G12242" t="n">
        <v>15.8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10381-2022</t>
        </is>
      </c>
      <c r="B12243" s="1" t="n">
        <v>44623.41340277778</v>
      </c>
      <c r="C12243" s="1" t="n">
        <v>46011</v>
      </c>
      <c r="D12243" t="inlineStr">
        <is>
          <t>VÄSTRA GÖTALANDS LÄN</t>
        </is>
      </c>
      <c r="E12243" t="inlineStr">
        <is>
          <t>FÄRGELANDA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62516-2023</t>
        </is>
      </c>
      <c r="B12244" s="1" t="n">
        <v>45267</v>
      </c>
      <c r="C12244" s="1" t="n">
        <v>46011</v>
      </c>
      <c r="D12244" t="inlineStr">
        <is>
          <t>VÄSTRA GÖTALANDS LÄN</t>
        </is>
      </c>
      <c r="E12244" t="inlineStr">
        <is>
          <t>TANUM</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13397-2025</t>
        </is>
      </c>
      <c r="B12245" s="1" t="n">
        <v>45735.71293981482</v>
      </c>
      <c r="C12245" s="1" t="n">
        <v>46011</v>
      </c>
      <c r="D12245" t="inlineStr">
        <is>
          <t>VÄSTRA GÖTALANDS LÄN</t>
        </is>
      </c>
      <c r="E12245" t="inlineStr">
        <is>
          <t>VÅRGÅRDA</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42825-2024</t>
        </is>
      </c>
      <c r="B12246" s="1" t="n">
        <v>45566.60034722222</v>
      </c>
      <c r="C12246" s="1" t="n">
        <v>46011</v>
      </c>
      <c r="D12246" t="inlineStr">
        <is>
          <t>VÄSTRA GÖTALANDS LÄN</t>
        </is>
      </c>
      <c r="E12246" t="inlineStr">
        <is>
          <t>KARLSBORG</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64977-2023</t>
        </is>
      </c>
      <c r="B12247" s="1" t="n">
        <v>45285</v>
      </c>
      <c r="C12247" s="1" t="n">
        <v>46011</v>
      </c>
      <c r="D12247" t="inlineStr">
        <is>
          <t>VÄSTRA GÖTALANDS LÄN</t>
        </is>
      </c>
      <c r="E12247" t="inlineStr">
        <is>
          <t>HERRLJUNGA</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38970-2024</t>
        </is>
      </c>
      <c r="B12248" s="1" t="n">
        <v>45548</v>
      </c>
      <c r="C12248" s="1" t="n">
        <v>46011</v>
      </c>
      <c r="D12248" t="inlineStr">
        <is>
          <t>VÄSTRA GÖTALANDS LÄN</t>
        </is>
      </c>
      <c r="E12248" t="inlineStr">
        <is>
          <t>BORÅS</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25073-2023</t>
        </is>
      </c>
      <c r="B12249" s="1" t="n">
        <v>45086</v>
      </c>
      <c r="C12249" s="1" t="n">
        <v>46011</v>
      </c>
      <c r="D12249" t="inlineStr">
        <is>
          <t>VÄSTRA GÖTALANDS LÄN</t>
        </is>
      </c>
      <c r="E12249" t="inlineStr">
        <is>
          <t>ULRICEHAMN</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52373-2024</t>
        </is>
      </c>
      <c r="B12250" s="1" t="n">
        <v>45609.39646990741</v>
      </c>
      <c r="C12250" s="1" t="n">
        <v>46011</v>
      </c>
      <c r="D12250" t="inlineStr">
        <is>
          <t>VÄSTRA GÖTALANDS LÄN</t>
        </is>
      </c>
      <c r="E12250" t="inlineStr">
        <is>
          <t>DALS-ED</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60624-2021</t>
        </is>
      </c>
      <c r="B12251" s="1" t="n">
        <v>44496.59633101852</v>
      </c>
      <c r="C12251" s="1" t="n">
        <v>46011</v>
      </c>
      <c r="D12251" t="inlineStr">
        <is>
          <t>VÄSTRA GÖTALANDS LÄN</t>
        </is>
      </c>
      <c r="E12251" t="inlineStr">
        <is>
          <t>TANUM</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13800-2023</t>
        </is>
      </c>
      <c r="B12252" s="1" t="n">
        <v>45007</v>
      </c>
      <c r="C12252" s="1" t="n">
        <v>46011</v>
      </c>
      <c r="D12252" t="inlineStr">
        <is>
          <t>VÄSTRA GÖTALANDS LÄN</t>
        </is>
      </c>
      <c r="E12252" t="inlineStr">
        <is>
          <t>MELLERUD</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55159-2024</t>
        </is>
      </c>
      <c r="B12253" s="1" t="n">
        <v>45621.50773148148</v>
      </c>
      <c r="C12253" s="1" t="n">
        <v>46011</v>
      </c>
      <c r="D12253" t="inlineStr">
        <is>
          <t>VÄSTRA GÖTALANDS LÄN</t>
        </is>
      </c>
      <c r="E12253" t="inlineStr">
        <is>
          <t>BOLLEBYGD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34834-2022</t>
        </is>
      </c>
      <c r="B12254" s="1" t="n">
        <v>44796</v>
      </c>
      <c r="C12254" s="1" t="n">
        <v>46011</v>
      </c>
      <c r="D12254" t="inlineStr">
        <is>
          <t>VÄSTRA GÖTALANDS LÄN</t>
        </is>
      </c>
      <c r="E12254" t="inlineStr">
        <is>
          <t>SKÖVDE</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48879-2024</t>
        </is>
      </c>
      <c r="B12255" s="1" t="n">
        <v>45594.32021990741</v>
      </c>
      <c r="C12255" s="1" t="n">
        <v>46011</v>
      </c>
      <c r="D12255" t="inlineStr">
        <is>
          <t>VÄSTRA GÖTALANDS LÄN</t>
        </is>
      </c>
      <c r="E12255" t="inlineStr">
        <is>
          <t>MELLERUD</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6833-2025</t>
        </is>
      </c>
      <c r="B12256" s="1" t="n">
        <v>45700.75775462963</v>
      </c>
      <c r="C12256" s="1" t="n">
        <v>46011</v>
      </c>
      <c r="D12256" t="inlineStr">
        <is>
          <t>VÄSTRA GÖTALANDS LÄN</t>
        </is>
      </c>
      <c r="E12256" t="inlineStr">
        <is>
          <t>ULRICEHAMN</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17188-2025</t>
        </is>
      </c>
      <c r="B12257" s="1" t="n">
        <v>45756.39010416667</v>
      </c>
      <c r="C12257" s="1" t="n">
        <v>46011</v>
      </c>
      <c r="D12257" t="inlineStr">
        <is>
          <t>VÄSTRA GÖTALANDS LÄN</t>
        </is>
      </c>
      <c r="E12257" t="inlineStr">
        <is>
          <t>TÖREBODA</t>
        </is>
      </c>
      <c r="F12257" t="inlineStr">
        <is>
          <t>Sveaskog</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17199-2025</t>
        </is>
      </c>
      <c r="B12258" s="1" t="n">
        <v>45756.41421296296</v>
      </c>
      <c r="C12258" s="1" t="n">
        <v>46011</v>
      </c>
      <c r="D12258" t="inlineStr">
        <is>
          <t>VÄSTRA GÖTALANDS LÄN</t>
        </is>
      </c>
      <c r="E12258" t="inlineStr">
        <is>
          <t>VÅRGÅRDA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27652-2022</t>
        </is>
      </c>
      <c r="B12259" s="1" t="n">
        <v>44743</v>
      </c>
      <c r="C12259" s="1" t="n">
        <v>46011</v>
      </c>
      <c r="D12259" t="inlineStr">
        <is>
          <t>VÄSTRA GÖTALANDS LÄN</t>
        </is>
      </c>
      <c r="E12259" t="inlineStr">
        <is>
          <t>TROLLHÄTTAN</t>
        </is>
      </c>
      <c r="G12259" t="n">
        <v>9.1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54955-2024</t>
        </is>
      </c>
      <c r="B12260" s="1" t="n">
        <v>45619.65883101852</v>
      </c>
      <c r="C12260" s="1" t="n">
        <v>46011</v>
      </c>
      <c r="D12260" t="inlineStr">
        <is>
          <t>VÄSTRA GÖTALANDS LÄN</t>
        </is>
      </c>
      <c r="E12260" t="inlineStr">
        <is>
          <t>MUNKEDAL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39762-2023</t>
        </is>
      </c>
      <c r="B12261" s="1" t="n">
        <v>45167.71539351852</v>
      </c>
      <c r="C12261" s="1" t="n">
        <v>46011</v>
      </c>
      <c r="D12261" t="inlineStr">
        <is>
          <t>VÄSTRA GÖTALANDS LÄN</t>
        </is>
      </c>
      <c r="E12261" t="inlineStr">
        <is>
          <t>HÄRRYDA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47850-2024</t>
        </is>
      </c>
      <c r="B12262" s="1" t="n">
        <v>45588.65774305556</v>
      </c>
      <c r="C12262" s="1" t="n">
        <v>46011</v>
      </c>
      <c r="D12262" t="inlineStr">
        <is>
          <t>VÄSTRA GÖTALANDS LÄN</t>
        </is>
      </c>
      <c r="E12262" t="inlineStr">
        <is>
          <t>BORÅS</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54459-2023</t>
        </is>
      </c>
      <c r="B12263" s="1" t="n">
        <v>45233.45410879629</v>
      </c>
      <c r="C12263" s="1" t="n">
        <v>46011</v>
      </c>
      <c r="D12263" t="inlineStr">
        <is>
          <t>VÄSTRA GÖTALANDS LÄN</t>
        </is>
      </c>
      <c r="E12263" t="inlineStr">
        <is>
          <t>TÖREBODA</t>
        </is>
      </c>
      <c r="F12263" t="inlineStr">
        <is>
          <t>Övriga statliga verk och myndigheter</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35581-2023</t>
        </is>
      </c>
      <c r="B12264" s="1" t="n">
        <v>45135</v>
      </c>
      <c r="C12264" s="1" t="n">
        <v>46011</v>
      </c>
      <c r="D12264" t="inlineStr">
        <is>
          <t>VÄSTRA GÖTALANDS LÄN</t>
        </is>
      </c>
      <c r="E12264" t="inlineStr">
        <is>
          <t>MARIESTAD</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4011-2025</t>
        </is>
      </c>
      <c r="B12265" s="1" t="n">
        <v>45684.57792824074</v>
      </c>
      <c r="C12265" s="1" t="n">
        <v>46011</v>
      </c>
      <c r="D12265" t="inlineStr">
        <is>
          <t>VÄSTRA GÖTALANDS LÄN</t>
        </is>
      </c>
      <c r="E12265" t="inlineStr">
        <is>
          <t>MARK</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4023-2025</t>
        </is>
      </c>
      <c r="B12266" s="1" t="n">
        <v>45684.5937037037</v>
      </c>
      <c r="C12266" s="1" t="n">
        <v>46011</v>
      </c>
      <c r="D12266" t="inlineStr">
        <is>
          <t>VÄSTRA GÖTALANDS LÄN</t>
        </is>
      </c>
      <c r="E12266" t="inlineStr">
        <is>
          <t>MELLERUD</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57955-2024</t>
        </is>
      </c>
      <c r="B12267" s="1" t="n">
        <v>45631.56939814815</v>
      </c>
      <c r="C12267" s="1" t="n">
        <v>46011</v>
      </c>
      <c r="D12267" t="inlineStr">
        <is>
          <t>VÄSTRA GÖTALANDS LÄN</t>
        </is>
      </c>
      <c r="E12267" t="inlineStr">
        <is>
          <t>TJÖRN</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18068-2025</t>
        </is>
      </c>
      <c r="B12268" s="1" t="n">
        <v>45761.49069444444</v>
      </c>
      <c r="C12268" s="1" t="n">
        <v>46011</v>
      </c>
      <c r="D12268" t="inlineStr">
        <is>
          <t>VÄSTRA GÖTALANDS LÄN</t>
        </is>
      </c>
      <c r="E12268" t="inlineStr">
        <is>
          <t>VÅRGÅRDA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63834-2023</t>
        </is>
      </c>
      <c r="B12269" s="1" t="n">
        <v>45278</v>
      </c>
      <c r="C12269" s="1" t="n">
        <v>46011</v>
      </c>
      <c r="D12269" t="inlineStr">
        <is>
          <t>VÄSTRA GÖTALANDS LÄN</t>
        </is>
      </c>
      <c r="E12269" t="inlineStr">
        <is>
          <t>TANUM</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45834-2023</t>
        </is>
      </c>
      <c r="B12270" s="1" t="n">
        <v>45195.56408564815</v>
      </c>
      <c r="C12270" s="1" t="n">
        <v>46011</v>
      </c>
      <c r="D12270" t="inlineStr">
        <is>
          <t>VÄSTRA GÖTALANDS LÄN</t>
        </is>
      </c>
      <c r="E12270" t="inlineStr">
        <is>
          <t>MELLERUD</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36436-2023</t>
        </is>
      </c>
      <c r="B12271" s="1" t="n">
        <v>45151</v>
      </c>
      <c r="C12271" s="1" t="n">
        <v>46011</v>
      </c>
      <c r="D12271" t="inlineStr">
        <is>
          <t>VÄSTRA GÖTALANDS LÄN</t>
        </is>
      </c>
      <c r="E12271" t="inlineStr">
        <is>
          <t>DALS-ED</t>
        </is>
      </c>
      <c r="G12271" t="n">
        <v>27.1</v>
      </c>
      <c r="H12271" t="n">
        <v>0</v>
      </c>
      <c r="I12271" t="n">
        <v>0</v>
      </c>
      <c r="J12271" t="n">
        <v>0</v>
      </c>
      <c r="K12271" t="n">
        <v>0</v>
      </c>
      <c r="L12271" t="n">
        <v>0</v>
      </c>
      <c r="M12271" t="n">
        <v>0</v>
      </c>
      <c r="N12271" t="n">
        <v>0</v>
      </c>
      <c r="O12271" t="n">
        <v>0</v>
      </c>
      <c r="P12271" t="n">
        <v>0</v>
      </c>
      <c r="Q12271" t="n">
        <v>0</v>
      </c>
      <c r="R12271" s="2" t="inlineStr"/>
      <c r="U12271">
        <f>HYPERLINK("https://klasma.github.io/Logging_1438/knärot/A 36436-2023 karta knärot.png", "A 36436-2023")</f>
        <v/>
      </c>
      <c r="V12271">
        <f>HYPERLINK("https://klasma.github.io/Logging_1438/klagomål/A 36436-2023 FSC-klagomål.docx", "A 36436-2023")</f>
        <v/>
      </c>
      <c r="W12271">
        <f>HYPERLINK("https://klasma.github.io/Logging_1438/klagomålsmail/A 36436-2023 FSC-klagomål mail.docx", "A 36436-2023")</f>
        <v/>
      </c>
      <c r="X12271">
        <f>HYPERLINK("https://klasma.github.io/Logging_1438/tillsyn/A 36436-2023 tillsynsbegäran.docx", "A 36436-2023")</f>
        <v/>
      </c>
      <c r="Y12271">
        <f>HYPERLINK("https://klasma.github.io/Logging_1438/tillsynsmail/A 36436-2023 tillsynsbegäran mail.docx", "A 36436-2023")</f>
        <v/>
      </c>
    </row>
    <row r="12272" ht="15" customHeight="1">
      <c r="A12272" t="inlineStr">
        <is>
          <t>A 5578-2025</t>
        </is>
      </c>
      <c r="B12272" s="1" t="n">
        <v>45693.54440972222</v>
      </c>
      <c r="C12272" s="1" t="n">
        <v>46011</v>
      </c>
      <c r="D12272" t="inlineStr">
        <is>
          <t>VÄSTRA GÖTALANDS LÄN</t>
        </is>
      </c>
      <c r="E12272" t="inlineStr">
        <is>
          <t>BORÅS</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59045-2023</t>
        </is>
      </c>
      <c r="B12273" s="1" t="n">
        <v>45252.7372800926</v>
      </c>
      <c r="C12273" s="1" t="n">
        <v>46011</v>
      </c>
      <c r="D12273" t="inlineStr">
        <is>
          <t>VÄSTRA GÖTALANDS LÄN</t>
        </is>
      </c>
      <c r="E12273" t="inlineStr">
        <is>
          <t>KARLSBORG</t>
        </is>
      </c>
      <c r="F12273" t="inlineStr">
        <is>
          <t>Övriga Aktiebolag</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12162-2022</t>
        </is>
      </c>
      <c r="B12274" s="1" t="n">
        <v>44636</v>
      </c>
      <c r="C12274" s="1" t="n">
        <v>46011</v>
      </c>
      <c r="D12274" t="inlineStr">
        <is>
          <t>VÄSTRA GÖTALANDS LÄN</t>
        </is>
      </c>
      <c r="E12274" t="inlineStr">
        <is>
          <t>SKÖVDE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42358-2024</t>
        </is>
      </c>
      <c r="B12275" s="1" t="n">
        <v>45562.75159722222</v>
      </c>
      <c r="C12275" s="1" t="n">
        <v>46011</v>
      </c>
      <c r="D12275" t="inlineStr">
        <is>
          <t>VÄSTRA GÖTALANDS LÄN</t>
        </is>
      </c>
      <c r="E12275" t="inlineStr">
        <is>
          <t>HERRLJUNGA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35097-2024</t>
        </is>
      </c>
      <c r="B12276" s="1" t="n">
        <v>45528.60868055555</v>
      </c>
      <c r="C12276" s="1" t="n">
        <v>46011</v>
      </c>
      <c r="D12276" t="inlineStr">
        <is>
          <t>VÄSTRA GÖTALANDS LÄN</t>
        </is>
      </c>
      <c r="E12276" t="inlineStr">
        <is>
          <t>MARIESTAD</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3125-2021</t>
        </is>
      </c>
      <c r="B12277" s="1" t="n">
        <v>44217</v>
      </c>
      <c r="C12277" s="1" t="n">
        <v>46011</v>
      </c>
      <c r="D12277" t="inlineStr">
        <is>
          <t>VÄSTRA GÖTALANDS LÄN</t>
        </is>
      </c>
      <c r="E12277" t="inlineStr">
        <is>
          <t>UDDEVALLA</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18701-2022</t>
        </is>
      </c>
      <c r="B12278" s="1" t="n">
        <v>44687</v>
      </c>
      <c r="C12278" s="1" t="n">
        <v>46011</v>
      </c>
      <c r="D12278" t="inlineStr">
        <is>
          <t>VÄSTRA GÖTALANDS LÄN</t>
        </is>
      </c>
      <c r="E12278" t="inlineStr">
        <is>
          <t>SKARA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45983-2024</t>
        </is>
      </c>
      <c r="B12279" s="1" t="n">
        <v>45580.61104166666</v>
      </c>
      <c r="C12279" s="1" t="n">
        <v>46011</v>
      </c>
      <c r="D12279" t="inlineStr">
        <is>
          <t>VÄSTRA GÖTALANDS LÄN</t>
        </is>
      </c>
      <c r="E12279" t="inlineStr">
        <is>
          <t>TROLLHÄTTAN</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34532-2023</t>
        </is>
      </c>
      <c r="B12280" s="1" t="n">
        <v>45140.43631944444</v>
      </c>
      <c r="C12280" s="1" t="n">
        <v>46011</v>
      </c>
      <c r="D12280" t="inlineStr">
        <is>
          <t>VÄSTRA GÖTALANDS LÄN</t>
        </is>
      </c>
      <c r="E12280" t="inlineStr">
        <is>
          <t>ÅMÅL</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2626-2025</t>
        </is>
      </c>
      <c r="B12281" s="1" t="n">
        <v>45675.66943287037</v>
      </c>
      <c r="C12281" s="1" t="n">
        <v>46011</v>
      </c>
      <c r="D12281" t="inlineStr">
        <is>
          <t>VÄSTRA GÖTALANDS LÄN</t>
        </is>
      </c>
      <c r="E12281" t="inlineStr">
        <is>
          <t>ULRICEHAMN</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20024-2022</t>
        </is>
      </c>
      <c r="B12282" s="1" t="n">
        <v>44697.66332175926</v>
      </c>
      <c r="C12282" s="1" t="n">
        <v>46011</v>
      </c>
      <c r="D12282" t="inlineStr">
        <is>
          <t>VÄSTRA GÖTALANDS LÄN</t>
        </is>
      </c>
      <c r="E12282" t="inlineStr">
        <is>
          <t>HJO</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29857-2022</t>
        </is>
      </c>
      <c r="B12283" s="1" t="n">
        <v>44756.37861111111</v>
      </c>
      <c r="C12283" s="1" t="n">
        <v>46011</v>
      </c>
      <c r="D12283" t="inlineStr">
        <is>
          <t>VÄSTRA GÖTALANDS LÄN</t>
        </is>
      </c>
      <c r="E12283" t="inlineStr">
        <is>
          <t>MARIESTAD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46380-2023</t>
        </is>
      </c>
      <c r="B12284" s="1" t="n">
        <v>45197.46625</v>
      </c>
      <c r="C12284" s="1" t="n">
        <v>46011</v>
      </c>
      <c r="D12284" t="inlineStr">
        <is>
          <t>VÄSTRA GÖTALANDS LÄN</t>
        </is>
      </c>
      <c r="E12284" t="inlineStr">
        <is>
          <t>BORÅS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39081-2022</t>
        </is>
      </c>
      <c r="B12285" s="1" t="n">
        <v>44817.40581018518</v>
      </c>
      <c r="C12285" s="1" t="n">
        <v>46011</v>
      </c>
      <c r="D12285" t="inlineStr">
        <is>
          <t>VÄSTRA GÖTALANDS LÄN</t>
        </is>
      </c>
      <c r="E12285" t="inlineStr">
        <is>
          <t>GÖTENE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23015-2024</t>
        </is>
      </c>
      <c r="B12286" s="1" t="n">
        <v>45450.35185185185</v>
      </c>
      <c r="C12286" s="1" t="n">
        <v>46011</v>
      </c>
      <c r="D12286" t="inlineStr">
        <is>
          <t>VÄSTRA GÖTALANDS LÄN</t>
        </is>
      </c>
      <c r="E12286" t="inlineStr">
        <is>
          <t>TRANEMO</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6980-2024</t>
        </is>
      </c>
      <c r="B12287" s="1" t="n">
        <v>45343.48173611111</v>
      </c>
      <c r="C12287" s="1" t="n">
        <v>46011</v>
      </c>
      <c r="D12287" t="inlineStr">
        <is>
          <t>VÄSTRA GÖTALANDS LÄN</t>
        </is>
      </c>
      <c r="E12287" t="inlineStr">
        <is>
          <t>MARK</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6986-2024</t>
        </is>
      </c>
      <c r="B12288" s="1" t="n">
        <v>45343.48984953704</v>
      </c>
      <c r="C12288" s="1" t="n">
        <v>46011</v>
      </c>
      <c r="D12288" t="inlineStr">
        <is>
          <t>VÄSTRA GÖTALANDS LÄN</t>
        </is>
      </c>
      <c r="E12288" t="inlineStr">
        <is>
          <t>ORUST</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15947-2024</t>
        </is>
      </c>
      <c r="B12289" s="1" t="n">
        <v>45405</v>
      </c>
      <c r="C12289" s="1" t="n">
        <v>46011</v>
      </c>
      <c r="D12289" t="inlineStr">
        <is>
          <t>VÄSTRA GÖTALANDS LÄN</t>
        </is>
      </c>
      <c r="E12289" t="inlineStr">
        <is>
          <t>BENGTSFORS</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5242-2022</t>
        </is>
      </c>
      <c r="B12290" s="1" t="n">
        <v>44594.51598379629</v>
      </c>
      <c r="C12290" s="1" t="n">
        <v>46011</v>
      </c>
      <c r="D12290" t="inlineStr">
        <is>
          <t>VÄSTRA GÖTALANDS LÄN</t>
        </is>
      </c>
      <c r="E12290" t="inlineStr">
        <is>
          <t>TROLLHÄTTAN</t>
        </is>
      </c>
      <c r="G12290" t="n">
        <v>8.800000000000001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16007-2024</t>
        </is>
      </c>
      <c r="B12291" s="1" t="n">
        <v>45405.63997685185</v>
      </c>
      <c r="C12291" s="1" t="n">
        <v>46011</v>
      </c>
      <c r="D12291" t="inlineStr">
        <is>
          <t>VÄSTRA GÖTALANDS LÄN</t>
        </is>
      </c>
      <c r="E12291" t="inlineStr">
        <is>
          <t>TÖREBODA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14749-2024</t>
        </is>
      </c>
      <c r="B12292" s="1" t="n">
        <v>45397.64184027778</v>
      </c>
      <c r="C12292" s="1" t="n">
        <v>46011</v>
      </c>
      <c r="D12292" t="inlineStr">
        <is>
          <t>VÄSTRA GÖTALANDS LÄN</t>
        </is>
      </c>
      <c r="E12292" t="inlineStr">
        <is>
          <t>MARK</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455-2024</t>
        </is>
      </c>
      <c r="B12293" s="1" t="n">
        <v>45296</v>
      </c>
      <c r="C12293" s="1" t="n">
        <v>46011</v>
      </c>
      <c r="D12293" t="inlineStr">
        <is>
          <t>VÄSTRA GÖTALANDS LÄN</t>
        </is>
      </c>
      <c r="E12293" t="inlineStr">
        <is>
          <t>GULLSPÅNG</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480-2024</t>
        </is>
      </c>
      <c r="B12294" s="1" t="n">
        <v>45298.51369212963</v>
      </c>
      <c r="C12294" s="1" t="n">
        <v>46011</v>
      </c>
      <c r="D12294" t="inlineStr">
        <is>
          <t>VÄSTRA GÖTALANDS LÄN</t>
        </is>
      </c>
      <c r="E12294" t="inlineStr">
        <is>
          <t>HERRLJUNGA</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42772-2023</t>
        </is>
      </c>
      <c r="B12295" s="1" t="n">
        <v>45181.73866898148</v>
      </c>
      <c r="C12295" s="1" t="n">
        <v>46011</v>
      </c>
      <c r="D12295" t="inlineStr">
        <is>
          <t>VÄSTRA GÖTALANDS LÄN</t>
        </is>
      </c>
      <c r="E12295" t="inlineStr">
        <is>
          <t>TANUM</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51257-2022</t>
        </is>
      </c>
      <c r="B12296" s="1" t="n">
        <v>44866</v>
      </c>
      <c r="C12296" s="1" t="n">
        <v>46011</v>
      </c>
      <c r="D12296" t="inlineStr">
        <is>
          <t>VÄSTRA GÖTALANDS LÄN</t>
        </is>
      </c>
      <c r="E12296" t="inlineStr">
        <is>
          <t>ÅMÅL</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48901-2023</t>
        </is>
      </c>
      <c r="B12297" s="1" t="n">
        <v>45209.52467592592</v>
      </c>
      <c r="C12297" s="1" t="n">
        <v>46011</v>
      </c>
      <c r="D12297" t="inlineStr">
        <is>
          <t>VÄSTRA GÖTALANDS LÄN</t>
        </is>
      </c>
      <c r="E12297" t="inlineStr">
        <is>
          <t>TIBRO</t>
        </is>
      </c>
      <c r="G12297" t="n">
        <v>18.3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14271-2021</t>
        </is>
      </c>
      <c r="B12298" s="1" t="n">
        <v>44278</v>
      </c>
      <c r="C12298" s="1" t="n">
        <v>46011</v>
      </c>
      <c r="D12298" t="inlineStr">
        <is>
          <t>VÄSTRA GÖTALANDS LÄN</t>
        </is>
      </c>
      <c r="E12298" t="inlineStr">
        <is>
          <t>GÖTEBORG</t>
        </is>
      </c>
      <c r="G12298" t="n">
        <v>6.7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36381-2023</t>
        </is>
      </c>
      <c r="B12299" s="1" t="n">
        <v>45152.52061342593</v>
      </c>
      <c r="C12299" s="1" t="n">
        <v>46011</v>
      </c>
      <c r="D12299" t="inlineStr">
        <is>
          <t>VÄSTRA GÖTALANDS LÄN</t>
        </is>
      </c>
      <c r="E12299" t="inlineStr">
        <is>
          <t>GÖTENE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28795-2023</t>
        </is>
      </c>
      <c r="B12300" s="1" t="n">
        <v>45104.35747685185</v>
      </c>
      <c r="C12300" s="1" t="n">
        <v>46011</v>
      </c>
      <c r="D12300" t="inlineStr">
        <is>
          <t>VÄSTRA GÖTALANDS LÄN</t>
        </is>
      </c>
      <c r="E12300" t="inlineStr">
        <is>
          <t>TANUM</t>
        </is>
      </c>
      <c r="F12300" t="inlineStr">
        <is>
          <t>Naturvårdsverket</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44165-2024</t>
        </is>
      </c>
      <c r="B12301" s="1" t="n">
        <v>45572.73310185185</v>
      </c>
      <c r="C12301" s="1" t="n">
        <v>46011</v>
      </c>
      <c r="D12301" t="inlineStr">
        <is>
          <t>VÄSTRA GÖTALANDS LÄN</t>
        </is>
      </c>
      <c r="E12301" t="inlineStr">
        <is>
          <t>TRANEMO</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60105-2021</t>
        </is>
      </c>
      <c r="B12302" s="1" t="n">
        <v>44495.42215277778</v>
      </c>
      <c r="C12302" s="1" t="n">
        <v>46011</v>
      </c>
      <c r="D12302" t="inlineStr">
        <is>
          <t>VÄSTRA GÖTALANDS LÄN</t>
        </is>
      </c>
      <c r="E12302" t="inlineStr">
        <is>
          <t>BENGTSFORS</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62849-2021</t>
        </is>
      </c>
      <c r="B12303" s="1" t="n">
        <v>44504</v>
      </c>
      <c r="C12303" s="1" t="n">
        <v>46011</v>
      </c>
      <c r="D12303" t="inlineStr">
        <is>
          <t>VÄSTRA GÖTALANDS LÄN</t>
        </is>
      </c>
      <c r="E12303" t="inlineStr">
        <is>
          <t>DALS-ED</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46529-2024</t>
        </is>
      </c>
      <c r="B12304" s="1" t="n">
        <v>45582.63581018519</v>
      </c>
      <c r="C12304" s="1" t="n">
        <v>46011</v>
      </c>
      <c r="D12304" t="inlineStr">
        <is>
          <t>VÄSTRA GÖTALANDS LÄN</t>
        </is>
      </c>
      <c r="E12304" t="inlineStr">
        <is>
          <t>TROLLHÄTTAN</t>
        </is>
      </c>
      <c r="G12304" t="n">
        <v>11.7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10830-2022</t>
        </is>
      </c>
      <c r="B12305" s="1" t="n">
        <v>44627.5578587963</v>
      </c>
      <c r="C12305" s="1" t="n">
        <v>46011</v>
      </c>
      <c r="D12305" t="inlineStr">
        <is>
          <t>VÄSTRA GÖTALANDS LÄN</t>
        </is>
      </c>
      <c r="E12305" t="inlineStr">
        <is>
          <t>FALKÖPING</t>
        </is>
      </c>
      <c r="F12305" t="inlineStr">
        <is>
          <t>Kommuner</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5715-2024</t>
        </is>
      </c>
      <c r="B12306" s="1" t="n">
        <v>45334</v>
      </c>
      <c r="C12306" s="1" t="n">
        <v>46011</v>
      </c>
      <c r="D12306" t="inlineStr">
        <is>
          <t>VÄSTRA GÖTALANDS LÄN</t>
        </is>
      </c>
      <c r="E12306" t="inlineStr">
        <is>
          <t>ORUST</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15099-2024</t>
        </is>
      </c>
      <c r="B12307" s="1" t="n">
        <v>45399.66082175926</v>
      </c>
      <c r="C12307" s="1" t="n">
        <v>46011</v>
      </c>
      <c r="D12307" t="inlineStr">
        <is>
          <t>VÄSTRA GÖTALANDS LÄN</t>
        </is>
      </c>
      <c r="E12307" t="inlineStr">
        <is>
          <t>VÄNERSBORG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15104-2024</t>
        </is>
      </c>
      <c r="B12308" s="1" t="n">
        <v>45399.66480324074</v>
      </c>
      <c r="C12308" s="1" t="n">
        <v>46011</v>
      </c>
      <c r="D12308" t="inlineStr">
        <is>
          <t>VÄSTRA GÖTALANDS LÄN</t>
        </is>
      </c>
      <c r="E12308" t="inlineStr">
        <is>
          <t>BENGTSFORS</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15107-2024</t>
        </is>
      </c>
      <c r="B12309" s="1" t="n">
        <v>45399</v>
      </c>
      <c r="C12309" s="1" t="n">
        <v>46011</v>
      </c>
      <c r="D12309" t="inlineStr">
        <is>
          <t>VÄSTRA GÖTALANDS LÄN</t>
        </is>
      </c>
      <c r="E12309" t="inlineStr">
        <is>
          <t>VÄNERSBORG</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11215-2025</t>
        </is>
      </c>
      <c r="B12310" s="1" t="n">
        <v>45726.33481481481</v>
      </c>
      <c r="C12310" s="1" t="n">
        <v>46011</v>
      </c>
      <c r="D12310" t="inlineStr">
        <is>
          <t>VÄSTRA GÖTALANDS LÄN</t>
        </is>
      </c>
      <c r="E12310" t="inlineStr">
        <is>
          <t>SVENLJUNGA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46190-2023</t>
        </is>
      </c>
      <c r="B12311" s="1" t="n">
        <v>45196</v>
      </c>
      <c r="C12311" s="1" t="n">
        <v>46011</v>
      </c>
      <c r="D12311" t="inlineStr">
        <is>
          <t>VÄSTRA GÖTALANDS LÄN</t>
        </is>
      </c>
      <c r="E12311" t="inlineStr">
        <is>
          <t>SKARA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54001-2023</t>
        </is>
      </c>
      <c r="B12312" s="1" t="n">
        <v>45231.67237268519</v>
      </c>
      <c r="C12312" s="1" t="n">
        <v>46011</v>
      </c>
      <c r="D12312" t="inlineStr">
        <is>
          <t>VÄSTRA GÖTALANDS LÄN</t>
        </is>
      </c>
      <c r="E12312" t="inlineStr">
        <is>
          <t>MUNKEDAL</t>
        </is>
      </c>
      <c r="G12312" t="n">
        <v>8.699999999999999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52410-2023</t>
        </is>
      </c>
      <c r="B12313" s="1" t="n">
        <v>45224</v>
      </c>
      <c r="C12313" s="1" t="n">
        <v>46011</v>
      </c>
      <c r="D12313" t="inlineStr">
        <is>
          <t>VÄSTRA GÖTALANDS LÄN</t>
        </is>
      </c>
      <c r="E12313" t="inlineStr">
        <is>
          <t>BORÅS</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45469-2023</t>
        </is>
      </c>
      <c r="B12314" s="1" t="n">
        <v>45188</v>
      </c>
      <c r="C12314" s="1" t="n">
        <v>46011</v>
      </c>
      <c r="D12314" t="inlineStr">
        <is>
          <t>VÄSTRA GÖTALANDS LÄN</t>
        </is>
      </c>
      <c r="E12314" t="inlineStr">
        <is>
          <t>MUNKEDAL</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46451-2024</t>
        </is>
      </c>
      <c r="B12315" s="1" t="n">
        <v>45582.50539351852</v>
      </c>
      <c r="C12315" s="1" t="n">
        <v>46011</v>
      </c>
      <c r="D12315" t="inlineStr">
        <is>
          <t>VÄSTRA GÖTALANDS LÄN</t>
        </is>
      </c>
      <c r="E12315" t="inlineStr">
        <is>
          <t>BORÅS</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41521-2023</t>
        </is>
      </c>
      <c r="B12316" s="1" t="n">
        <v>45175.5158912037</v>
      </c>
      <c r="C12316" s="1" t="n">
        <v>46011</v>
      </c>
      <c r="D12316" t="inlineStr">
        <is>
          <t>VÄSTRA GÖTALANDS LÄN</t>
        </is>
      </c>
      <c r="E12316" t="inlineStr">
        <is>
          <t>MUNKEDAL</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46426-2023</t>
        </is>
      </c>
      <c r="B12317" s="1" t="n">
        <v>45197.56680555556</v>
      </c>
      <c r="C12317" s="1" t="n">
        <v>46011</v>
      </c>
      <c r="D12317" t="inlineStr">
        <is>
          <t>VÄSTRA GÖTALANDS LÄN</t>
        </is>
      </c>
      <c r="E12317" t="inlineStr">
        <is>
          <t>BORÅS</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6977-2025</t>
        </is>
      </c>
      <c r="B12318" s="1" t="n">
        <v>45701.54565972222</v>
      </c>
      <c r="C12318" s="1" t="n">
        <v>46011</v>
      </c>
      <c r="D12318" t="inlineStr">
        <is>
          <t>VÄSTRA GÖTALANDS LÄN</t>
        </is>
      </c>
      <c r="E12318" t="inlineStr">
        <is>
          <t>VARA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46-2024</t>
        </is>
      </c>
      <c r="B12319" s="1" t="n">
        <v>45293.56115740741</v>
      </c>
      <c r="C12319" s="1" t="n">
        <v>46011</v>
      </c>
      <c r="D12319" t="inlineStr">
        <is>
          <t>VÄSTRA GÖTALANDS LÄN</t>
        </is>
      </c>
      <c r="E12319" t="inlineStr">
        <is>
          <t>FÄRGELANDA</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1005-2024</t>
        </is>
      </c>
      <c r="B12320" s="1" t="n">
        <v>45301</v>
      </c>
      <c r="C12320" s="1" t="n">
        <v>46011</v>
      </c>
      <c r="D12320" t="inlineStr">
        <is>
          <t>VÄSTRA GÖTALANDS LÄN</t>
        </is>
      </c>
      <c r="E12320" t="inlineStr">
        <is>
          <t>VÅRGÅRDA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51254-2023</t>
        </is>
      </c>
      <c r="B12321" s="1" t="n">
        <v>45219.48835648148</v>
      </c>
      <c r="C12321" s="1" t="n">
        <v>46011</v>
      </c>
      <c r="D12321" t="inlineStr">
        <is>
          <t>VÄSTRA GÖTALANDS LÄN</t>
        </is>
      </c>
      <c r="E12321" t="inlineStr">
        <is>
          <t>HERRLJUNGA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57029-2024</t>
        </is>
      </c>
      <c r="B12322" s="1" t="n">
        <v>45628.87296296296</v>
      </c>
      <c r="C12322" s="1" t="n">
        <v>46011</v>
      </c>
      <c r="D12322" t="inlineStr">
        <is>
          <t>VÄSTRA GÖTALANDS LÄN</t>
        </is>
      </c>
      <c r="E12322" t="inlineStr">
        <is>
          <t>TANUM</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57030-2024</t>
        </is>
      </c>
      <c r="B12323" s="1" t="n">
        <v>45628.87668981482</v>
      </c>
      <c r="C12323" s="1" t="n">
        <v>46011</v>
      </c>
      <c r="D12323" t="inlineStr">
        <is>
          <t>VÄSTRA GÖTALANDS LÄN</t>
        </is>
      </c>
      <c r="E12323" t="inlineStr">
        <is>
          <t>TANUM</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50259-2023</t>
        </is>
      </c>
      <c r="B12324" s="1" t="n">
        <v>45216.3775</v>
      </c>
      <c r="C12324" s="1" t="n">
        <v>46011</v>
      </c>
      <c r="D12324" t="inlineStr">
        <is>
          <t>VÄSTRA GÖTALANDS LÄN</t>
        </is>
      </c>
      <c r="E12324" t="inlineStr">
        <is>
          <t>STRÖMSTAD</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46480-2022</t>
        </is>
      </c>
      <c r="B12325" s="1" t="n">
        <v>44847</v>
      </c>
      <c r="C12325" s="1" t="n">
        <v>46011</v>
      </c>
      <c r="D12325" t="inlineStr">
        <is>
          <t>VÄSTRA GÖTALANDS LÄN</t>
        </is>
      </c>
      <c r="E12325" t="inlineStr">
        <is>
          <t>GULLSPÅNG</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20248-2022</t>
        </is>
      </c>
      <c r="B12326" s="1" t="n">
        <v>44698.6441087963</v>
      </c>
      <c r="C12326" s="1" t="n">
        <v>46011</v>
      </c>
      <c r="D12326" t="inlineStr">
        <is>
          <t>VÄSTRA GÖTALANDS LÄN</t>
        </is>
      </c>
      <c r="E12326" t="inlineStr">
        <is>
          <t>SVENLJUNGA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12078-2025</t>
        </is>
      </c>
      <c r="B12327" s="1" t="n">
        <v>45728.78711805555</v>
      </c>
      <c r="C12327" s="1" t="n">
        <v>46011</v>
      </c>
      <c r="D12327" t="inlineStr">
        <is>
          <t>VÄSTRA GÖTALANDS LÄN</t>
        </is>
      </c>
      <c r="E12327" t="inlineStr">
        <is>
          <t>HERRLJUNGA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9655-2023</t>
        </is>
      </c>
      <c r="B12328" s="1" t="n">
        <v>44978</v>
      </c>
      <c r="C12328" s="1" t="n">
        <v>46011</v>
      </c>
      <c r="D12328" t="inlineStr">
        <is>
          <t>VÄSTRA GÖTALANDS LÄN</t>
        </is>
      </c>
      <c r="E12328" t="inlineStr">
        <is>
          <t>TÖREBODA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21062-2024</t>
        </is>
      </c>
      <c r="B12329" s="1" t="n">
        <v>45439.77535879629</v>
      </c>
      <c r="C12329" s="1" t="n">
        <v>46011</v>
      </c>
      <c r="D12329" t="inlineStr">
        <is>
          <t>VÄSTRA GÖTALANDS LÄN</t>
        </is>
      </c>
      <c r="E12329" t="inlineStr">
        <is>
          <t>GRÄSTORP</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53386-2023</t>
        </is>
      </c>
      <c r="B12330" s="1" t="n">
        <v>45223</v>
      </c>
      <c r="C12330" s="1" t="n">
        <v>46011</v>
      </c>
      <c r="D12330" t="inlineStr">
        <is>
          <t>VÄSTRA GÖTALANDS LÄN</t>
        </is>
      </c>
      <c r="E12330" t="inlineStr">
        <is>
          <t>BORÅS</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16154-2024</t>
        </is>
      </c>
      <c r="B12331" s="1" t="n">
        <v>45406.58298611111</v>
      </c>
      <c r="C12331" s="1" t="n">
        <v>46011</v>
      </c>
      <c r="D12331" t="inlineStr">
        <is>
          <t>VÄSTRA GÖTALANDS LÄN</t>
        </is>
      </c>
      <c r="E12331" t="inlineStr">
        <is>
          <t>TROLLHÄTTAN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16155-2024</t>
        </is>
      </c>
      <c r="B12332" s="1" t="n">
        <v>45406.58472222222</v>
      </c>
      <c r="C12332" s="1" t="n">
        <v>46011</v>
      </c>
      <c r="D12332" t="inlineStr">
        <is>
          <t>VÄSTRA GÖTALANDS LÄN</t>
        </is>
      </c>
      <c r="E12332" t="inlineStr">
        <is>
          <t>TROLLHÄTTAN</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11932-2024</t>
        </is>
      </c>
      <c r="B12333" s="1" t="n">
        <v>45376</v>
      </c>
      <c r="C12333" s="1" t="n">
        <v>46011</v>
      </c>
      <c r="D12333" t="inlineStr">
        <is>
          <t>VÄSTRA GÖTALANDS LÄN</t>
        </is>
      </c>
      <c r="E12333" t="inlineStr">
        <is>
          <t>TRANEMO</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34843-2024</t>
        </is>
      </c>
      <c r="B12334" s="1" t="n">
        <v>45526</v>
      </c>
      <c r="C12334" s="1" t="n">
        <v>46011</v>
      </c>
      <c r="D12334" t="inlineStr">
        <is>
          <t>VÄSTRA GÖTALANDS LÄN</t>
        </is>
      </c>
      <c r="E12334" t="inlineStr">
        <is>
          <t>TIDAHOLM</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59605-2023</t>
        </is>
      </c>
      <c r="B12335" s="1" t="n">
        <v>45254.63135416667</v>
      </c>
      <c r="C12335" s="1" t="n">
        <v>46011</v>
      </c>
      <c r="D12335" t="inlineStr">
        <is>
          <t>VÄSTRA GÖTALANDS LÄN</t>
        </is>
      </c>
      <c r="E12335" t="inlineStr">
        <is>
          <t>MARK</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8307-2024</t>
        </is>
      </c>
      <c r="B12336" s="1" t="n">
        <v>45350</v>
      </c>
      <c r="C12336" s="1" t="n">
        <v>46011</v>
      </c>
      <c r="D12336" t="inlineStr">
        <is>
          <t>VÄSTRA GÖTALANDS LÄN</t>
        </is>
      </c>
      <c r="E12336" t="inlineStr">
        <is>
          <t>ÅMÅL</t>
        </is>
      </c>
      <c r="F12336" t="inlineStr">
        <is>
          <t>Bergvik skog väst AB</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33824-2024</t>
        </is>
      </c>
      <c r="B12337" s="1" t="n">
        <v>45520.61393518518</v>
      </c>
      <c r="C12337" s="1" t="n">
        <v>46011</v>
      </c>
      <c r="D12337" t="inlineStr">
        <is>
          <t>VÄSTRA GÖTALANDS LÄN</t>
        </is>
      </c>
      <c r="E12337" t="inlineStr">
        <is>
          <t>BENGTSFORS</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7191-2024</t>
        </is>
      </c>
      <c r="B12338" s="1" t="n">
        <v>45344</v>
      </c>
      <c r="C12338" s="1" t="n">
        <v>46011</v>
      </c>
      <c r="D12338" t="inlineStr">
        <is>
          <t>VÄSTRA GÖTALANDS LÄN</t>
        </is>
      </c>
      <c r="E12338" t="inlineStr">
        <is>
          <t>SVENLJUNGA</t>
        </is>
      </c>
      <c r="F12338" t="inlineStr">
        <is>
          <t>Kommuner</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5759-2024</t>
        </is>
      </c>
      <c r="B12339" s="1" t="n">
        <v>45335.3642824074</v>
      </c>
      <c r="C12339" s="1" t="n">
        <v>46011</v>
      </c>
      <c r="D12339" t="inlineStr">
        <is>
          <t>VÄSTRA GÖTALANDS LÄN</t>
        </is>
      </c>
      <c r="E12339" t="inlineStr">
        <is>
          <t>BENGTSFORS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5760-2024</t>
        </is>
      </c>
      <c r="B12340" s="1" t="n">
        <v>45335.36597222222</v>
      </c>
      <c r="C12340" s="1" t="n">
        <v>46011</v>
      </c>
      <c r="D12340" t="inlineStr">
        <is>
          <t>VÄSTRA GÖTALANDS LÄN</t>
        </is>
      </c>
      <c r="E12340" t="inlineStr">
        <is>
          <t>HERRLJUNGA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57235-2022</t>
        </is>
      </c>
      <c r="B12341" s="1" t="n">
        <v>44895.67813657408</v>
      </c>
      <c r="C12341" s="1" t="n">
        <v>46011</v>
      </c>
      <c r="D12341" t="inlineStr">
        <is>
          <t>VÄSTRA GÖTALANDS LÄN</t>
        </is>
      </c>
      <c r="E12341" t="inlineStr">
        <is>
          <t>KARLSBORG</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57253-2022</t>
        </is>
      </c>
      <c r="B12342" s="1" t="n">
        <v>44895.77885416667</v>
      </c>
      <c r="C12342" s="1" t="n">
        <v>46011</v>
      </c>
      <c r="D12342" t="inlineStr">
        <is>
          <t>VÄSTRA GÖTALANDS LÄN</t>
        </is>
      </c>
      <c r="E12342" t="inlineStr">
        <is>
          <t>VARA</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57259-2022</t>
        </is>
      </c>
      <c r="B12343" s="1" t="n">
        <v>44895.82489583334</v>
      </c>
      <c r="C12343" s="1" t="n">
        <v>46011</v>
      </c>
      <c r="D12343" t="inlineStr">
        <is>
          <t>VÄSTRA GÖTALANDS LÄN</t>
        </is>
      </c>
      <c r="E12343" t="inlineStr">
        <is>
          <t>TROLLHÄTTAN</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41562-2022</t>
        </is>
      </c>
      <c r="B12344" s="1" t="n">
        <v>44827</v>
      </c>
      <c r="C12344" s="1" t="n">
        <v>46011</v>
      </c>
      <c r="D12344" t="inlineStr">
        <is>
          <t>VÄSTRA GÖTALANDS LÄN</t>
        </is>
      </c>
      <c r="E12344" t="inlineStr">
        <is>
          <t>SKARA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44812-2024</t>
        </is>
      </c>
      <c r="B12345" s="1" t="n">
        <v>45574.65747685185</v>
      </c>
      <c r="C12345" s="1" t="n">
        <v>46011</v>
      </c>
      <c r="D12345" t="inlineStr">
        <is>
          <t>VÄSTRA GÖTALANDS LÄN</t>
        </is>
      </c>
      <c r="E12345" t="inlineStr">
        <is>
          <t>BENGTSFORS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37934-2023</t>
        </is>
      </c>
      <c r="B12346" s="1" t="n">
        <v>45160.52923611111</v>
      </c>
      <c r="C12346" s="1" t="n">
        <v>46011</v>
      </c>
      <c r="D12346" t="inlineStr">
        <is>
          <t>VÄSTRA GÖTALANDS LÄN</t>
        </is>
      </c>
      <c r="E12346" t="inlineStr">
        <is>
          <t>TIDAHOLM</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47461-2023</t>
        </is>
      </c>
      <c r="B12347" s="1" t="n">
        <v>45202.85652777777</v>
      </c>
      <c r="C12347" s="1" t="n">
        <v>46011</v>
      </c>
      <c r="D12347" t="inlineStr">
        <is>
          <t>VÄSTRA GÖTALANDS LÄN</t>
        </is>
      </c>
      <c r="E12347" t="inlineStr">
        <is>
          <t>FÄRGELANDA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42435-2023</t>
        </is>
      </c>
      <c r="B12348" s="1" t="n">
        <v>45180.63178240741</v>
      </c>
      <c r="C12348" s="1" t="n">
        <v>46011</v>
      </c>
      <c r="D12348" t="inlineStr">
        <is>
          <t>VÄSTRA GÖTALANDS LÄN</t>
        </is>
      </c>
      <c r="E12348" t="inlineStr">
        <is>
          <t>BORÅS</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5964-2023</t>
        </is>
      </c>
      <c r="B12349" s="1" t="n">
        <v>44964</v>
      </c>
      <c r="C12349" s="1" t="n">
        <v>46011</v>
      </c>
      <c r="D12349" t="inlineStr">
        <is>
          <t>VÄSTRA GÖTALANDS LÄN</t>
        </is>
      </c>
      <c r="E12349" t="inlineStr">
        <is>
          <t>BORÅS</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26759-2022</t>
        </is>
      </c>
      <c r="B12350" s="1" t="n">
        <v>44740.29990740741</v>
      </c>
      <c r="C12350" s="1" t="n">
        <v>46011</v>
      </c>
      <c r="D12350" t="inlineStr">
        <is>
          <t>VÄSTRA GÖTALANDS LÄN</t>
        </is>
      </c>
      <c r="E12350" t="inlineStr">
        <is>
          <t>TÖREBODA</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3057-2023</t>
        </is>
      </c>
      <c r="B12351" s="1" t="n">
        <v>44946</v>
      </c>
      <c r="C12351" s="1" t="n">
        <v>46011</v>
      </c>
      <c r="D12351" t="inlineStr">
        <is>
          <t>VÄSTRA GÖTALANDS LÄN</t>
        </is>
      </c>
      <c r="E12351" t="inlineStr">
        <is>
          <t>VÅRGÅRDA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53529-2023</t>
        </is>
      </c>
      <c r="B12352" s="1" t="n">
        <v>45230</v>
      </c>
      <c r="C12352" s="1" t="n">
        <v>46011</v>
      </c>
      <c r="D12352" t="inlineStr">
        <is>
          <t>VÄSTRA GÖTALANDS LÄN</t>
        </is>
      </c>
      <c r="E12352" t="inlineStr">
        <is>
          <t>MARK</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53531-2023</t>
        </is>
      </c>
      <c r="B12353" s="1" t="n">
        <v>45230</v>
      </c>
      <c r="C12353" s="1" t="n">
        <v>46011</v>
      </c>
      <c r="D12353" t="inlineStr">
        <is>
          <t>VÄSTRA GÖTALANDS LÄN</t>
        </is>
      </c>
      <c r="E12353" t="inlineStr">
        <is>
          <t>BENGTSFORS</t>
        </is>
      </c>
      <c r="G12353" t="n">
        <v>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49948-2023</t>
        </is>
      </c>
      <c r="B12354" s="1" t="n">
        <v>45215.36408564815</v>
      </c>
      <c r="C12354" s="1" t="n">
        <v>46011</v>
      </c>
      <c r="D12354" t="inlineStr">
        <is>
          <t>VÄSTRA GÖTALANDS LÄN</t>
        </is>
      </c>
      <c r="E12354" t="inlineStr">
        <is>
          <t>BORÅS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61715-2023</t>
        </is>
      </c>
      <c r="B12355" s="1" t="n">
        <v>45265.66866898148</v>
      </c>
      <c r="C12355" s="1" t="n">
        <v>46011</v>
      </c>
      <c r="D12355" t="inlineStr">
        <is>
          <t>VÄSTRA GÖTALANDS LÄN</t>
        </is>
      </c>
      <c r="E12355" t="inlineStr">
        <is>
          <t>TANUM</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20428-2025</t>
        </is>
      </c>
      <c r="B12356" s="1" t="n">
        <v>45775.47633101852</v>
      </c>
      <c r="C12356" s="1" t="n">
        <v>46011</v>
      </c>
      <c r="D12356" t="inlineStr">
        <is>
          <t>VÄSTRA GÖTALANDS LÄN</t>
        </is>
      </c>
      <c r="E12356" t="inlineStr">
        <is>
          <t>BENGTSFORS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20172-2025</t>
        </is>
      </c>
      <c r="B12357" s="1" t="n">
        <v>45772.57979166666</v>
      </c>
      <c r="C12357" s="1" t="n">
        <v>46011</v>
      </c>
      <c r="D12357" t="inlineStr">
        <is>
          <t>VÄSTRA GÖTALANDS LÄN</t>
        </is>
      </c>
      <c r="E12357" t="inlineStr">
        <is>
          <t>VÅRGÅRDA</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9761-2025</t>
        </is>
      </c>
      <c r="B12358" s="1" t="n">
        <v>45716.47787037037</v>
      </c>
      <c r="C12358" s="1" t="n">
        <v>46011</v>
      </c>
      <c r="D12358" t="inlineStr">
        <is>
          <t>VÄSTRA GÖTALANDS LÄN</t>
        </is>
      </c>
      <c r="E12358" t="inlineStr">
        <is>
          <t>GÖTENE</t>
        </is>
      </c>
      <c r="F12358" t="inlineStr">
        <is>
          <t>Sveaskog</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9455-2024</t>
        </is>
      </c>
      <c r="B12359" s="1" t="n">
        <v>45359.52900462963</v>
      </c>
      <c r="C12359" s="1" t="n">
        <v>46011</v>
      </c>
      <c r="D12359" t="inlineStr">
        <is>
          <t>VÄSTRA GÖTALANDS LÄN</t>
        </is>
      </c>
      <c r="E12359" t="inlineStr">
        <is>
          <t>SVENLJUNGA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5454-2025</t>
        </is>
      </c>
      <c r="B12360" s="1" t="n">
        <v>45692.98011574074</v>
      </c>
      <c r="C12360" s="1" t="n">
        <v>46011</v>
      </c>
      <c r="D12360" t="inlineStr">
        <is>
          <t>VÄSTRA GÖTALANDS LÄN</t>
        </is>
      </c>
      <c r="E12360" t="inlineStr">
        <is>
          <t>ORUST</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54133-2023</t>
        </is>
      </c>
      <c r="B12361" s="1" t="n">
        <v>45232</v>
      </c>
      <c r="C12361" s="1" t="n">
        <v>46011</v>
      </c>
      <c r="D12361" t="inlineStr">
        <is>
          <t>VÄSTRA GÖTALANDS LÄN</t>
        </is>
      </c>
      <c r="E12361" t="inlineStr">
        <is>
          <t>TIDAHOLM</t>
        </is>
      </c>
      <c r="F12361" t="inlineStr">
        <is>
          <t>Kyrkan</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59010-2024</t>
        </is>
      </c>
      <c r="B12362" s="1" t="n">
        <v>45635</v>
      </c>
      <c r="C12362" s="1" t="n">
        <v>46011</v>
      </c>
      <c r="D12362" t="inlineStr">
        <is>
          <t>VÄSTRA GÖTALANDS LÄN</t>
        </is>
      </c>
      <c r="E12362" t="inlineStr">
        <is>
          <t>LIDKÖPING</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8474-2024</t>
        </is>
      </c>
      <c r="B12363" s="1" t="n">
        <v>45355.39510416667</v>
      </c>
      <c r="C12363" s="1" t="n">
        <v>46011</v>
      </c>
      <c r="D12363" t="inlineStr">
        <is>
          <t>VÄSTRA GÖTALANDS LÄN</t>
        </is>
      </c>
      <c r="E12363" t="inlineStr">
        <is>
          <t>TANUM</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53559-2022</t>
        </is>
      </c>
      <c r="B12364" s="1" t="n">
        <v>44879</v>
      </c>
      <c r="C12364" s="1" t="n">
        <v>46011</v>
      </c>
      <c r="D12364" t="inlineStr">
        <is>
          <t>VÄSTRA GÖTALANDS LÄN</t>
        </is>
      </c>
      <c r="E12364" t="inlineStr">
        <is>
          <t>FÄRGELANDA</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19282-2024</t>
        </is>
      </c>
      <c r="B12365" s="1" t="n">
        <v>45428.66136574074</v>
      </c>
      <c r="C12365" s="1" t="n">
        <v>46011</v>
      </c>
      <c r="D12365" t="inlineStr">
        <is>
          <t>VÄSTRA GÖTALANDS LÄN</t>
        </is>
      </c>
      <c r="E12365" t="inlineStr">
        <is>
          <t>GRÄSTORP</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55998-2022</t>
        </is>
      </c>
      <c r="B12366" s="1" t="n">
        <v>44889.47790509259</v>
      </c>
      <c r="C12366" s="1" t="n">
        <v>46011</v>
      </c>
      <c r="D12366" t="inlineStr">
        <is>
          <t>VÄSTRA GÖTALANDS LÄN</t>
        </is>
      </c>
      <c r="E12366" t="inlineStr">
        <is>
          <t>BENGTSFORS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2701-2024</t>
        </is>
      </c>
      <c r="B12367" s="1" t="n">
        <v>45314.46743055555</v>
      </c>
      <c r="C12367" s="1" t="n">
        <v>46011</v>
      </c>
      <c r="D12367" t="inlineStr">
        <is>
          <t>VÄSTRA GÖTALANDS LÄN</t>
        </is>
      </c>
      <c r="E12367" t="inlineStr">
        <is>
          <t>SKARA</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3570-2025</t>
        </is>
      </c>
      <c r="B12368" s="1" t="n">
        <v>45680</v>
      </c>
      <c r="C12368" s="1" t="n">
        <v>46011</v>
      </c>
      <c r="D12368" t="inlineStr">
        <is>
          <t>VÄSTRA GÖTALANDS LÄN</t>
        </is>
      </c>
      <c r="E12368" t="inlineStr">
        <is>
          <t>ÅMÅL</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9096-2025</t>
        </is>
      </c>
      <c r="B12369" s="1" t="n">
        <v>45713.68238425926</v>
      </c>
      <c r="C12369" s="1" t="n">
        <v>46011</v>
      </c>
      <c r="D12369" t="inlineStr">
        <is>
          <t>VÄSTRA GÖTALANDS LÄN</t>
        </is>
      </c>
      <c r="E12369" t="inlineStr">
        <is>
          <t>BORÅS</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61873-2024</t>
        </is>
      </c>
      <c r="B12370" s="1" t="n">
        <v>45651.88362268519</v>
      </c>
      <c r="C12370" s="1" t="n">
        <v>46011</v>
      </c>
      <c r="D12370" t="inlineStr">
        <is>
          <t>VÄSTRA GÖTALANDS LÄN</t>
        </is>
      </c>
      <c r="E12370" t="inlineStr">
        <is>
          <t>TÖREBODA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61874-2024</t>
        </is>
      </c>
      <c r="B12371" s="1" t="n">
        <v>45651.93527777777</v>
      </c>
      <c r="C12371" s="1" t="n">
        <v>46011</v>
      </c>
      <c r="D12371" t="inlineStr">
        <is>
          <t>VÄSTRA GÖTALANDS LÄN</t>
        </is>
      </c>
      <c r="E12371" t="inlineStr">
        <is>
          <t>HÄRRYDA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29739-2024</t>
        </is>
      </c>
      <c r="B12372" s="1" t="n">
        <v>45485.3945949074</v>
      </c>
      <c r="C12372" s="1" t="n">
        <v>46011</v>
      </c>
      <c r="D12372" t="inlineStr">
        <is>
          <t>VÄSTRA GÖTALANDS LÄN</t>
        </is>
      </c>
      <c r="E12372" t="inlineStr">
        <is>
          <t>TÖREBODA</t>
        </is>
      </c>
      <c r="F12372" t="inlineStr">
        <is>
          <t>Sveaskog</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52629-2024</t>
        </is>
      </c>
      <c r="B12373" s="1" t="n">
        <v>45610.286875</v>
      </c>
      <c r="C12373" s="1" t="n">
        <v>46011</v>
      </c>
      <c r="D12373" t="inlineStr">
        <is>
          <t>VÄSTRA GÖTALANDS LÄN</t>
        </is>
      </c>
      <c r="E12373" t="inlineStr">
        <is>
          <t>SVENLJUNGA</t>
        </is>
      </c>
      <c r="F12373" t="inlineStr">
        <is>
          <t>Sveaskog</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223-2025</t>
        </is>
      </c>
      <c r="B12374" s="1" t="n">
        <v>45660.34912037037</v>
      </c>
      <c r="C12374" s="1" t="n">
        <v>46011</v>
      </c>
      <c r="D12374" t="inlineStr">
        <is>
          <t>VÄSTRA GÖTALANDS LÄN</t>
        </is>
      </c>
      <c r="E12374" t="inlineStr">
        <is>
          <t>TROLLHÄTTAN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21883-2021</t>
        </is>
      </c>
      <c r="B12375" s="1" t="n">
        <v>44322</v>
      </c>
      <c r="C12375" s="1" t="n">
        <v>46011</v>
      </c>
      <c r="D12375" t="inlineStr">
        <is>
          <t>VÄSTRA GÖTALANDS LÄN</t>
        </is>
      </c>
      <c r="E12375" t="inlineStr">
        <is>
          <t>KUNGÄLV</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43242-2022</t>
        </is>
      </c>
      <c r="B12376" s="1" t="n">
        <v>44834.43748842592</v>
      </c>
      <c r="C12376" s="1" t="n">
        <v>46011</v>
      </c>
      <c r="D12376" t="inlineStr">
        <is>
          <t>VÄSTRA GÖTALANDS LÄN</t>
        </is>
      </c>
      <c r="E12376" t="inlineStr">
        <is>
          <t>TANUM</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56761-2023</t>
        </is>
      </c>
      <c r="B12377" s="1" t="n">
        <v>45238</v>
      </c>
      <c r="C12377" s="1" t="n">
        <v>46011</v>
      </c>
      <c r="D12377" t="inlineStr">
        <is>
          <t>VÄSTRA GÖTALANDS LÄN</t>
        </is>
      </c>
      <c r="E12377" t="inlineStr">
        <is>
          <t>FALKÖPING</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4943-2025</t>
        </is>
      </c>
      <c r="B12378" s="1" t="n">
        <v>45688.77064814815</v>
      </c>
      <c r="C12378" s="1" t="n">
        <v>46011</v>
      </c>
      <c r="D12378" t="inlineStr">
        <is>
          <t>VÄSTRA GÖTALANDS LÄN</t>
        </is>
      </c>
      <c r="E12378" t="inlineStr">
        <is>
          <t>BORÅS</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20164-2025</t>
        </is>
      </c>
      <c r="B12379" s="1" t="n">
        <v>45772.57297453703</v>
      </c>
      <c r="C12379" s="1" t="n">
        <v>46011</v>
      </c>
      <c r="D12379" t="inlineStr">
        <is>
          <t>VÄSTRA GÖTALANDS LÄN</t>
        </is>
      </c>
      <c r="E12379" t="inlineStr">
        <is>
          <t>BENGTSFORS</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46945-2023</t>
        </is>
      </c>
      <c r="B12380" s="1" t="n">
        <v>45201</v>
      </c>
      <c r="C12380" s="1" t="n">
        <v>46011</v>
      </c>
      <c r="D12380" t="inlineStr">
        <is>
          <t>VÄSTRA GÖTALANDS LÄN</t>
        </is>
      </c>
      <c r="E12380" t="inlineStr">
        <is>
          <t>MARIESTAD</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53617-2022</t>
        </is>
      </c>
      <c r="B12381" s="1" t="n">
        <v>44879</v>
      </c>
      <c r="C12381" s="1" t="n">
        <v>46011</v>
      </c>
      <c r="D12381" t="inlineStr">
        <is>
          <t>VÄSTRA GÖTALANDS LÄN</t>
        </is>
      </c>
      <c r="E12381" t="inlineStr">
        <is>
          <t>ÅMÅL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59306-2022</t>
        </is>
      </c>
      <c r="B12382" s="1" t="n">
        <v>44904.61891203704</v>
      </c>
      <c r="C12382" s="1" t="n">
        <v>46011</v>
      </c>
      <c r="D12382" t="inlineStr">
        <is>
          <t>VÄSTRA GÖTALANDS LÄN</t>
        </is>
      </c>
      <c r="E12382" t="inlineStr">
        <is>
          <t>TRANEMO</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48491-2022</t>
        </is>
      </c>
      <c r="B12383" s="1" t="n">
        <v>44858.79685185185</v>
      </c>
      <c r="C12383" s="1" t="n">
        <v>46011</v>
      </c>
      <c r="D12383" t="inlineStr">
        <is>
          <t>VÄSTRA GÖTALANDS LÄN</t>
        </is>
      </c>
      <c r="E12383" t="inlineStr">
        <is>
          <t>TÖREBODA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32314-2021</t>
        </is>
      </c>
      <c r="B12384" s="1" t="n">
        <v>44371.53730324074</v>
      </c>
      <c r="C12384" s="1" t="n">
        <v>46011</v>
      </c>
      <c r="D12384" t="inlineStr">
        <is>
          <t>VÄSTRA GÖTALANDS LÄN</t>
        </is>
      </c>
      <c r="E12384" t="inlineStr">
        <is>
          <t>KARLSBORG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65145-2023</t>
        </is>
      </c>
      <c r="B12385" s="1" t="n">
        <v>45288</v>
      </c>
      <c r="C12385" s="1" t="n">
        <v>46011</v>
      </c>
      <c r="D12385" t="inlineStr">
        <is>
          <t>VÄSTRA GÖTALANDS LÄN</t>
        </is>
      </c>
      <c r="E12385" t="inlineStr">
        <is>
          <t>MARK</t>
        </is>
      </c>
      <c r="G12385" t="n">
        <v>18.2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52957-2022</t>
        </is>
      </c>
      <c r="B12386" s="1" t="n">
        <v>44875.70405092592</v>
      </c>
      <c r="C12386" s="1" t="n">
        <v>46011</v>
      </c>
      <c r="D12386" t="inlineStr">
        <is>
          <t>VÄSTRA GÖTALANDS LÄN</t>
        </is>
      </c>
      <c r="E12386" t="inlineStr">
        <is>
          <t>BORÅS</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25429-2022</t>
        </is>
      </c>
      <c r="B12387" s="1" t="n">
        <v>44732.47703703704</v>
      </c>
      <c r="C12387" s="1" t="n">
        <v>46011</v>
      </c>
      <c r="D12387" t="inlineStr">
        <is>
          <t>VÄSTRA GÖTALANDS LÄN</t>
        </is>
      </c>
      <c r="E12387" t="inlineStr">
        <is>
          <t>TRANEMO</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59879-2024</t>
        </is>
      </c>
      <c r="B12388" s="1" t="n">
        <v>45640.716875</v>
      </c>
      <c r="C12388" s="1" t="n">
        <v>46011</v>
      </c>
      <c r="D12388" t="inlineStr">
        <is>
          <t>VÄSTRA GÖTALANDS LÄN</t>
        </is>
      </c>
      <c r="E12388" t="inlineStr">
        <is>
          <t>TROLLHÄTTAN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59802-2023</t>
        </is>
      </c>
      <c r="B12389" s="1" t="n">
        <v>45257</v>
      </c>
      <c r="C12389" s="1" t="n">
        <v>46011</v>
      </c>
      <c r="D12389" t="inlineStr">
        <is>
          <t>VÄSTRA GÖTALANDS LÄN</t>
        </is>
      </c>
      <c r="E12389" t="inlineStr">
        <is>
          <t>ULRICEHAMN</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42161-2021</t>
        </is>
      </c>
      <c r="B12390" s="1" t="n">
        <v>44426</v>
      </c>
      <c r="C12390" s="1" t="n">
        <v>46011</v>
      </c>
      <c r="D12390" t="inlineStr">
        <is>
          <t>VÄSTRA GÖTALANDS LÄN</t>
        </is>
      </c>
      <c r="E12390" t="inlineStr">
        <is>
          <t>MARIESTAD</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36803-2024</t>
        </is>
      </c>
      <c r="B12391" s="1" t="n">
        <v>45538.46005787037</v>
      </c>
      <c r="C12391" s="1" t="n">
        <v>46011</v>
      </c>
      <c r="D12391" t="inlineStr">
        <is>
          <t>VÄSTRA GÖTALANDS LÄN</t>
        </is>
      </c>
      <c r="E12391" t="inlineStr">
        <is>
          <t>DALS-ED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22925-2024</t>
        </is>
      </c>
      <c r="B12392" s="1" t="n">
        <v>45448</v>
      </c>
      <c r="C12392" s="1" t="n">
        <v>46011</v>
      </c>
      <c r="D12392" t="inlineStr">
        <is>
          <t>VÄSTRA GÖTALANDS LÄN</t>
        </is>
      </c>
      <c r="E12392" t="inlineStr">
        <is>
          <t>GULLSPÅNG</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19005-2023</t>
        </is>
      </c>
      <c r="B12393" s="1" t="n">
        <v>45045.60177083333</v>
      </c>
      <c r="C12393" s="1" t="n">
        <v>46011</v>
      </c>
      <c r="D12393" t="inlineStr">
        <is>
          <t>VÄSTRA GÖTALANDS LÄN</t>
        </is>
      </c>
      <c r="E12393" t="inlineStr">
        <is>
          <t>ORUST</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41981-2024</t>
        </is>
      </c>
      <c r="B12394" s="1" t="n">
        <v>45561.63293981482</v>
      </c>
      <c r="C12394" s="1" t="n">
        <v>46011</v>
      </c>
      <c r="D12394" t="inlineStr">
        <is>
          <t>VÄSTRA GÖTALANDS LÄN</t>
        </is>
      </c>
      <c r="E12394" t="inlineStr">
        <is>
          <t>BORÅS</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9949-2023</t>
        </is>
      </c>
      <c r="B12395" s="1" t="n">
        <v>44985</v>
      </c>
      <c r="C12395" s="1" t="n">
        <v>46011</v>
      </c>
      <c r="D12395" t="inlineStr">
        <is>
          <t>VÄSTRA GÖTALANDS LÄN</t>
        </is>
      </c>
      <c r="E12395" t="inlineStr">
        <is>
          <t>TIDAHOLM</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38822-2024</t>
        </is>
      </c>
      <c r="B12396" s="1" t="n">
        <v>45547.56211805555</v>
      </c>
      <c r="C12396" s="1" t="n">
        <v>46011</v>
      </c>
      <c r="D12396" t="inlineStr">
        <is>
          <t>VÄSTRA GÖTALANDS LÄN</t>
        </is>
      </c>
      <c r="E12396" t="inlineStr">
        <is>
          <t>TRANEMO</t>
        </is>
      </c>
      <c r="F12396" t="inlineStr">
        <is>
          <t>Sveaskog</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22309-2024</t>
        </is>
      </c>
      <c r="B12397" s="1" t="n">
        <v>45446</v>
      </c>
      <c r="C12397" s="1" t="n">
        <v>46011</v>
      </c>
      <c r="D12397" t="inlineStr">
        <is>
          <t>VÄSTRA GÖTALANDS LÄN</t>
        </is>
      </c>
      <c r="E12397" t="inlineStr">
        <is>
          <t>HERRLJUNGA</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11402-2023</t>
        </is>
      </c>
      <c r="B12398" s="1" t="n">
        <v>44993.4881712963</v>
      </c>
      <c r="C12398" s="1" t="n">
        <v>46011</v>
      </c>
      <c r="D12398" t="inlineStr">
        <is>
          <t>VÄSTRA GÖTALANDS LÄN</t>
        </is>
      </c>
      <c r="E12398" t="inlineStr">
        <is>
          <t>ÅMÅL</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43380-2021</t>
        </is>
      </c>
      <c r="B12399" s="1" t="n">
        <v>44432.57885416667</v>
      </c>
      <c r="C12399" s="1" t="n">
        <v>46011</v>
      </c>
      <c r="D12399" t="inlineStr">
        <is>
          <t>VÄSTRA GÖTALANDS LÄN</t>
        </is>
      </c>
      <c r="E12399" t="inlineStr">
        <is>
          <t>DALS-ED</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1326-2024</t>
        </is>
      </c>
      <c r="B12400" s="1" t="n">
        <v>45303</v>
      </c>
      <c r="C12400" s="1" t="n">
        <v>46011</v>
      </c>
      <c r="D12400" t="inlineStr">
        <is>
          <t>VÄSTRA GÖTALANDS LÄN</t>
        </is>
      </c>
      <c r="E12400" t="inlineStr">
        <is>
          <t>TANUM</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1371-2024</t>
        </is>
      </c>
      <c r="B12401" s="1" t="n">
        <v>45303.53243055556</v>
      </c>
      <c r="C12401" s="1" t="n">
        <v>46011</v>
      </c>
      <c r="D12401" t="inlineStr">
        <is>
          <t>VÄSTRA GÖTALANDS LÄN</t>
        </is>
      </c>
      <c r="E12401" t="inlineStr">
        <is>
          <t>HERRLJUNGA</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34056-2024</t>
        </is>
      </c>
      <c r="B12402" s="1" t="n">
        <v>45523.6125</v>
      </c>
      <c r="C12402" s="1" t="n">
        <v>46011</v>
      </c>
      <c r="D12402" t="inlineStr">
        <is>
          <t>VÄSTRA GÖTALANDS LÄN</t>
        </is>
      </c>
      <c r="E12402" t="inlineStr">
        <is>
          <t>ORUST</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34061-2024</t>
        </is>
      </c>
      <c r="B12403" s="1" t="n">
        <v>45523.61668981481</v>
      </c>
      <c r="C12403" s="1" t="n">
        <v>46011</v>
      </c>
      <c r="D12403" t="inlineStr">
        <is>
          <t>VÄSTRA GÖTALANDS LÄN</t>
        </is>
      </c>
      <c r="E12403" t="inlineStr">
        <is>
          <t>TRANEMO</t>
        </is>
      </c>
      <c r="F12403" t="inlineStr">
        <is>
          <t>Sveaskog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34153-2024</t>
        </is>
      </c>
      <c r="B12404" s="1" t="n">
        <v>45524.38400462963</v>
      </c>
      <c r="C12404" s="1" t="n">
        <v>46011</v>
      </c>
      <c r="D12404" t="inlineStr">
        <is>
          <t>VÄSTRA GÖTALANDS LÄN</t>
        </is>
      </c>
      <c r="E12404" t="inlineStr">
        <is>
          <t>ALE</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24463-2021</t>
        </is>
      </c>
      <c r="B12405" s="1" t="n">
        <v>44337.61400462963</v>
      </c>
      <c r="C12405" s="1" t="n">
        <v>46011</v>
      </c>
      <c r="D12405" t="inlineStr">
        <is>
          <t>VÄSTRA GÖTALANDS LÄN</t>
        </is>
      </c>
      <c r="E12405" t="inlineStr">
        <is>
          <t>SVENLJUNGA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59460-2022</t>
        </is>
      </c>
      <c r="B12406" s="1" t="n">
        <v>44907</v>
      </c>
      <c r="C12406" s="1" t="n">
        <v>46011</v>
      </c>
      <c r="D12406" t="inlineStr">
        <is>
          <t>VÄSTRA GÖTALANDS LÄN</t>
        </is>
      </c>
      <c r="E12406" t="inlineStr">
        <is>
          <t>TIDAHOLM</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13268-2024</t>
        </is>
      </c>
      <c r="B12407" s="1" t="n">
        <v>45386</v>
      </c>
      <c r="C12407" s="1" t="n">
        <v>46011</v>
      </c>
      <c r="D12407" t="inlineStr">
        <is>
          <t>VÄSTRA GÖTALANDS LÄN</t>
        </is>
      </c>
      <c r="E12407" t="inlineStr">
        <is>
          <t>GÖTENE</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13281-2024</t>
        </is>
      </c>
      <c r="B12408" s="1" t="n">
        <v>45386</v>
      </c>
      <c r="C12408" s="1" t="n">
        <v>46011</v>
      </c>
      <c r="D12408" t="inlineStr">
        <is>
          <t>VÄSTRA GÖTALANDS LÄN</t>
        </is>
      </c>
      <c r="E12408" t="inlineStr">
        <is>
          <t>GÖTENE</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45710-2024</t>
        </is>
      </c>
      <c r="B12409" s="1" t="n">
        <v>45579.58155092593</v>
      </c>
      <c r="C12409" s="1" t="n">
        <v>46011</v>
      </c>
      <c r="D12409" t="inlineStr">
        <is>
          <t>VÄSTRA GÖTALANDS LÄN</t>
        </is>
      </c>
      <c r="E12409" t="inlineStr">
        <is>
          <t>FÄRGELANDA</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27431-2023</t>
        </is>
      </c>
      <c r="B12410" s="1" t="n">
        <v>45097.38552083333</v>
      </c>
      <c r="C12410" s="1" t="n">
        <v>46011</v>
      </c>
      <c r="D12410" t="inlineStr">
        <is>
          <t>VÄSTRA GÖTALANDS LÄN</t>
        </is>
      </c>
      <c r="E12410" t="inlineStr">
        <is>
          <t>ALINGSÅS</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22448-2024</t>
        </is>
      </c>
      <c r="B12411" s="1" t="n">
        <v>45446.94362268518</v>
      </c>
      <c r="C12411" s="1" t="n">
        <v>46011</v>
      </c>
      <c r="D12411" t="inlineStr">
        <is>
          <t>VÄSTRA GÖTALANDS LÄN</t>
        </is>
      </c>
      <c r="E12411" t="inlineStr">
        <is>
          <t>DALS-ED</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40838-2024</t>
        </is>
      </c>
      <c r="B12412" s="1" t="n">
        <v>45558.5702662037</v>
      </c>
      <c r="C12412" s="1" t="n">
        <v>46011</v>
      </c>
      <c r="D12412" t="inlineStr">
        <is>
          <t>VÄSTRA GÖTALANDS LÄN</t>
        </is>
      </c>
      <c r="E12412" t="inlineStr">
        <is>
          <t>BENGTSFORS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32826-2022</t>
        </is>
      </c>
      <c r="B12413" s="1" t="n">
        <v>44784</v>
      </c>
      <c r="C12413" s="1" t="n">
        <v>46011</v>
      </c>
      <c r="D12413" t="inlineStr">
        <is>
          <t>VÄSTRA GÖTALANDS LÄN</t>
        </is>
      </c>
      <c r="E12413" t="inlineStr">
        <is>
          <t>TROLLHÄTTAN</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65400-2021</t>
        </is>
      </c>
      <c r="B12414" s="1" t="n">
        <v>44515.82825231482</v>
      </c>
      <c r="C12414" s="1" t="n">
        <v>46011</v>
      </c>
      <c r="D12414" t="inlineStr">
        <is>
          <t>VÄSTRA GÖTALANDS LÄN</t>
        </is>
      </c>
      <c r="E12414" t="inlineStr">
        <is>
          <t>ULRICEHAMN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32838-2022</t>
        </is>
      </c>
      <c r="B12415" s="1" t="n">
        <v>44784.43820601852</v>
      </c>
      <c r="C12415" s="1" t="n">
        <v>46011</v>
      </c>
      <c r="D12415" t="inlineStr">
        <is>
          <t>VÄSTRA GÖTALANDS LÄN</t>
        </is>
      </c>
      <c r="E12415" t="inlineStr">
        <is>
          <t>VÄNERSBORG</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55714-2024</t>
        </is>
      </c>
      <c r="B12416" s="1" t="n">
        <v>45622.70282407408</v>
      </c>
      <c r="C12416" s="1" t="n">
        <v>46011</v>
      </c>
      <c r="D12416" t="inlineStr">
        <is>
          <t>VÄSTRA GÖTALANDS LÄN</t>
        </is>
      </c>
      <c r="E12416" t="inlineStr">
        <is>
          <t>FALKÖPING</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8456-2024</t>
        </is>
      </c>
      <c r="B12417" s="1" t="n">
        <v>45354</v>
      </c>
      <c r="C12417" s="1" t="n">
        <v>46011</v>
      </c>
      <c r="D12417" t="inlineStr">
        <is>
          <t>VÄSTRA GÖTALANDS LÄN</t>
        </is>
      </c>
      <c r="E12417" t="inlineStr">
        <is>
          <t>VÅRGÅRDA</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57281-2024</t>
        </is>
      </c>
      <c r="B12418" s="1" t="n">
        <v>45629.57923611111</v>
      </c>
      <c r="C12418" s="1" t="n">
        <v>46011</v>
      </c>
      <c r="D12418" t="inlineStr">
        <is>
          <t>VÄSTRA GÖTALANDS LÄN</t>
        </is>
      </c>
      <c r="E12418" t="inlineStr">
        <is>
          <t>SVENLJUNGA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19185-2024</t>
        </is>
      </c>
      <c r="B12419" s="1" t="n">
        <v>45428.48590277778</v>
      </c>
      <c r="C12419" s="1" t="n">
        <v>46011</v>
      </c>
      <c r="D12419" t="inlineStr">
        <is>
          <t>VÄSTRA GÖTALANDS LÄN</t>
        </is>
      </c>
      <c r="E12419" t="inlineStr">
        <is>
          <t>MARK</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19683-2023</t>
        </is>
      </c>
      <c r="B12420" s="1" t="n">
        <v>45051.42228009259</v>
      </c>
      <c r="C12420" s="1" t="n">
        <v>46011</v>
      </c>
      <c r="D12420" t="inlineStr">
        <is>
          <t>VÄSTRA GÖTALANDS LÄN</t>
        </is>
      </c>
      <c r="E12420" t="inlineStr">
        <is>
          <t>GÖTENE</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19125-2025</t>
        </is>
      </c>
      <c r="B12421" s="1" t="n">
        <v>45768.8713425926</v>
      </c>
      <c r="C12421" s="1" t="n">
        <v>46011</v>
      </c>
      <c r="D12421" t="inlineStr">
        <is>
          <t>VÄSTRA GÖTALANDS LÄN</t>
        </is>
      </c>
      <c r="E12421" t="inlineStr">
        <is>
          <t>KARLSBORG</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19126-2025</t>
        </is>
      </c>
      <c r="B12422" s="1" t="n">
        <v>45768.87210648148</v>
      </c>
      <c r="C12422" s="1" t="n">
        <v>46011</v>
      </c>
      <c r="D12422" t="inlineStr">
        <is>
          <t>VÄSTRA GÖTALANDS LÄN</t>
        </is>
      </c>
      <c r="E12422" t="inlineStr">
        <is>
          <t>KARLSBORG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42680-2024</t>
        </is>
      </c>
      <c r="B12423" s="1" t="n">
        <v>45566</v>
      </c>
      <c r="C12423" s="1" t="n">
        <v>46011</v>
      </c>
      <c r="D12423" t="inlineStr">
        <is>
          <t>VÄSTRA GÖTALANDS LÄN</t>
        </is>
      </c>
      <c r="E12423" t="inlineStr">
        <is>
          <t>TRANEMO</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36095-2024</t>
        </is>
      </c>
      <c r="B12424" s="1" t="n">
        <v>45533</v>
      </c>
      <c r="C12424" s="1" t="n">
        <v>46011</v>
      </c>
      <c r="D12424" t="inlineStr">
        <is>
          <t>VÄSTRA GÖTALANDS LÄN</t>
        </is>
      </c>
      <c r="E12424" t="inlineStr">
        <is>
          <t>DALS-ED</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58226-2022</t>
        </is>
      </c>
      <c r="B12425" s="1" t="n">
        <v>44901.3806712963</v>
      </c>
      <c r="C12425" s="1" t="n">
        <v>46011</v>
      </c>
      <c r="D12425" t="inlineStr">
        <is>
          <t>VÄSTRA GÖTALANDS LÄN</t>
        </is>
      </c>
      <c r="E12425" t="inlineStr">
        <is>
          <t>TÖREBODA</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58330-2022</t>
        </is>
      </c>
      <c r="B12426" s="1" t="n">
        <v>44901.56349537037</v>
      </c>
      <c r="C12426" s="1" t="n">
        <v>46011</v>
      </c>
      <c r="D12426" t="inlineStr">
        <is>
          <t>VÄSTRA GÖTALANDS LÄN</t>
        </is>
      </c>
      <c r="E12426" t="inlineStr">
        <is>
          <t>TROLLHÄTTAN</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59404-2022</t>
        </is>
      </c>
      <c r="B12427" s="1" t="n">
        <v>44906.9374537037</v>
      </c>
      <c r="C12427" s="1" t="n">
        <v>46011</v>
      </c>
      <c r="D12427" t="inlineStr">
        <is>
          <t>VÄSTRA GÖTALANDS LÄN</t>
        </is>
      </c>
      <c r="E12427" t="inlineStr">
        <is>
          <t>KARLSBORG</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58417-2024</t>
        </is>
      </c>
      <c r="B12428" s="1" t="n">
        <v>45634.83702546296</v>
      </c>
      <c r="C12428" s="1" t="n">
        <v>46011</v>
      </c>
      <c r="D12428" t="inlineStr">
        <is>
          <t>VÄSTRA GÖTALANDS LÄN</t>
        </is>
      </c>
      <c r="E12428" t="inlineStr">
        <is>
          <t>GÖTENE</t>
        </is>
      </c>
      <c r="F12428" t="inlineStr">
        <is>
          <t>Kommuner</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20683-2024</t>
        </is>
      </c>
      <c r="B12429" s="1" t="n">
        <v>45436.58328703704</v>
      </c>
      <c r="C12429" s="1" t="n">
        <v>46011</v>
      </c>
      <c r="D12429" t="inlineStr">
        <is>
          <t>VÄSTRA GÖTALANDS LÄN</t>
        </is>
      </c>
      <c r="E12429" t="inlineStr">
        <is>
          <t>LYSEKIL</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25317-2024</t>
        </is>
      </c>
      <c r="B12430" s="1" t="n">
        <v>45462.70604166666</v>
      </c>
      <c r="C12430" s="1" t="n">
        <v>46011</v>
      </c>
      <c r="D12430" t="inlineStr">
        <is>
          <t>VÄSTRA GÖTALANDS LÄN</t>
        </is>
      </c>
      <c r="E12430" t="inlineStr">
        <is>
          <t>BORÅS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59915-2024</t>
        </is>
      </c>
      <c r="B12431" s="1" t="n">
        <v>45641.74975694445</v>
      </c>
      <c r="C12431" s="1" t="n">
        <v>46011</v>
      </c>
      <c r="D12431" t="inlineStr">
        <is>
          <t>VÄSTRA GÖTALANDS LÄN</t>
        </is>
      </c>
      <c r="E12431" t="inlineStr">
        <is>
          <t>ORUST</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55912-2024</t>
        </is>
      </c>
      <c r="B12432" s="1" t="n">
        <v>45623.59274305555</v>
      </c>
      <c r="C12432" s="1" t="n">
        <v>46011</v>
      </c>
      <c r="D12432" t="inlineStr">
        <is>
          <t>VÄSTRA GÖTALANDS LÄN</t>
        </is>
      </c>
      <c r="E12432" t="inlineStr">
        <is>
          <t>DALS-ED</t>
        </is>
      </c>
      <c r="G12432" t="n">
        <v>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34167-2023</t>
        </is>
      </c>
      <c r="B12433" s="1" t="n">
        <v>45137</v>
      </c>
      <c r="C12433" s="1" t="n">
        <v>46011</v>
      </c>
      <c r="D12433" t="inlineStr">
        <is>
          <t>VÄSTRA GÖTALANDS LÄN</t>
        </is>
      </c>
      <c r="E12433" t="inlineStr">
        <is>
          <t>MARK</t>
        </is>
      </c>
      <c r="G12433" t="n">
        <v>12.2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2168-2025</t>
        </is>
      </c>
      <c r="B12434" s="1" t="n">
        <v>45673.27136574074</v>
      </c>
      <c r="C12434" s="1" t="n">
        <v>46011</v>
      </c>
      <c r="D12434" t="inlineStr">
        <is>
          <t>VÄSTRA GÖTALANDS LÄN</t>
        </is>
      </c>
      <c r="E12434" t="inlineStr">
        <is>
          <t>ALINGSÅS</t>
        </is>
      </c>
      <c r="F12434" t="inlineStr">
        <is>
          <t>Kyrkan</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2178-2025</t>
        </is>
      </c>
      <c r="B12435" s="1" t="n">
        <v>45673.34253472222</v>
      </c>
      <c r="C12435" s="1" t="n">
        <v>46011</v>
      </c>
      <c r="D12435" t="inlineStr">
        <is>
          <t>VÄSTRA GÖTALANDS LÄN</t>
        </is>
      </c>
      <c r="E12435" t="inlineStr">
        <is>
          <t>BENGTSFORS</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38394-2023</t>
        </is>
      </c>
      <c r="B12436" s="1" t="n">
        <v>45162.31151620371</v>
      </c>
      <c r="C12436" s="1" t="n">
        <v>46011</v>
      </c>
      <c r="D12436" t="inlineStr">
        <is>
          <t>VÄSTRA GÖTALANDS LÄN</t>
        </is>
      </c>
      <c r="E12436" t="inlineStr">
        <is>
          <t>FALKÖPING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505-2023</t>
        </is>
      </c>
      <c r="B12437" s="1" t="n">
        <v>44930.35895833333</v>
      </c>
      <c r="C12437" s="1" t="n">
        <v>46011</v>
      </c>
      <c r="D12437" t="inlineStr">
        <is>
          <t>VÄSTRA GÖTALANDS LÄN</t>
        </is>
      </c>
      <c r="E12437" t="inlineStr">
        <is>
          <t>VÄNERSBORG</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29192-2024</t>
        </is>
      </c>
      <c r="B12438" s="1" t="n">
        <v>45482</v>
      </c>
      <c r="C12438" s="1" t="n">
        <v>46011</v>
      </c>
      <c r="D12438" t="inlineStr">
        <is>
          <t>VÄSTRA GÖTALANDS LÄN</t>
        </is>
      </c>
      <c r="E12438" t="inlineStr">
        <is>
          <t>STRÖMSTAD</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72612-2021</t>
        </is>
      </c>
      <c r="B12439" s="1" t="n">
        <v>44546.51971064815</v>
      </c>
      <c r="C12439" s="1" t="n">
        <v>46011</v>
      </c>
      <c r="D12439" t="inlineStr">
        <is>
          <t>VÄSTRA GÖTALANDS LÄN</t>
        </is>
      </c>
      <c r="E12439" t="inlineStr">
        <is>
          <t>FÄRGELANDA</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38514-2024</t>
        </is>
      </c>
      <c r="B12440" s="1" t="n">
        <v>45546.55621527778</v>
      </c>
      <c r="C12440" s="1" t="n">
        <v>46011</v>
      </c>
      <c r="D12440" t="inlineStr">
        <is>
          <t>VÄSTRA GÖTALANDS LÄN</t>
        </is>
      </c>
      <c r="E12440" t="inlineStr">
        <is>
          <t>HERRLJUNGA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59231-2024</t>
        </is>
      </c>
      <c r="B12441" s="1" t="n">
        <v>45637.58472222222</v>
      </c>
      <c r="C12441" s="1" t="n">
        <v>46011</v>
      </c>
      <c r="D12441" t="inlineStr">
        <is>
          <t>VÄSTRA GÖTALANDS LÄN</t>
        </is>
      </c>
      <c r="E12441" t="inlineStr">
        <is>
          <t>SOTENÄS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42028-2024</t>
        </is>
      </c>
      <c r="B12442" s="1" t="n">
        <v>45561.75966435186</v>
      </c>
      <c r="C12442" s="1" t="n">
        <v>46011</v>
      </c>
      <c r="D12442" t="inlineStr">
        <is>
          <t>VÄSTRA GÖTALANDS LÄN</t>
        </is>
      </c>
      <c r="E12442" t="inlineStr">
        <is>
          <t>SVENLJUNGA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42038-2024</t>
        </is>
      </c>
      <c r="B12443" s="1" t="n">
        <v>45561.79969907407</v>
      </c>
      <c r="C12443" s="1" t="n">
        <v>46011</v>
      </c>
      <c r="D12443" t="inlineStr">
        <is>
          <t>VÄSTRA GÖTALANDS LÄN</t>
        </is>
      </c>
      <c r="E12443" t="inlineStr">
        <is>
          <t>VARA</t>
        </is>
      </c>
      <c r="G12443" t="n">
        <v>7.2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10635-2025</t>
        </is>
      </c>
      <c r="B12444" s="1" t="n">
        <v>45721</v>
      </c>
      <c r="C12444" s="1" t="n">
        <v>46011</v>
      </c>
      <c r="D12444" t="inlineStr">
        <is>
          <t>VÄSTRA GÖTALANDS LÄN</t>
        </is>
      </c>
      <c r="E12444" t="inlineStr">
        <is>
          <t>TÖREBODA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29012-2024</t>
        </is>
      </c>
      <c r="B12445" s="1" t="n">
        <v>45478</v>
      </c>
      <c r="C12445" s="1" t="n">
        <v>46011</v>
      </c>
      <c r="D12445" t="inlineStr">
        <is>
          <t>VÄSTRA GÖTALANDS LÄN</t>
        </is>
      </c>
      <c r="E12445" t="inlineStr">
        <is>
          <t>FALKÖPING</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57969-2022</t>
        </is>
      </c>
      <c r="B12446" s="1" t="n">
        <v>44900.44082175926</v>
      </c>
      <c r="C12446" s="1" t="n">
        <v>46011</v>
      </c>
      <c r="D12446" t="inlineStr">
        <is>
          <t>VÄSTRA GÖTALANDS LÄN</t>
        </is>
      </c>
      <c r="E12446" t="inlineStr">
        <is>
          <t>TIDAHOLM</t>
        </is>
      </c>
      <c r="F12446" t="inlineStr">
        <is>
          <t>Sveaskog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13901-2025</t>
        </is>
      </c>
      <c r="B12447" s="1" t="n">
        <v>45737</v>
      </c>
      <c r="C12447" s="1" t="n">
        <v>46011</v>
      </c>
      <c r="D12447" t="inlineStr">
        <is>
          <t>VÄSTRA GÖTALANDS LÄN</t>
        </is>
      </c>
      <c r="E12447" t="inlineStr">
        <is>
          <t>SKÖVDE</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64460-2021</t>
        </is>
      </c>
      <c r="B12448" s="1" t="n">
        <v>44511.52870370371</v>
      </c>
      <c r="C12448" s="1" t="n">
        <v>46011</v>
      </c>
      <c r="D12448" t="inlineStr">
        <is>
          <t>VÄSTRA GÖTALANDS LÄN</t>
        </is>
      </c>
      <c r="E12448" t="inlineStr">
        <is>
          <t>TRANEMO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26525-2024</t>
        </is>
      </c>
      <c r="B12449" s="1" t="n">
        <v>45469.6058449074</v>
      </c>
      <c r="C12449" s="1" t="n">
        <v>46011</v>
      </c>
      <c r="D12449" t="inlineStr">
        <is>
          <t>VÄSTRA GÖTALANDS LÄN</t>
        </is>
      </c>
      <c r="E12449" t="inlineStr">
        <is>
          <t>TIDAHOLM</t>
        </is>
      </c>
      <c r="F12449" t="inlineStr">
        <is>
          <t>Sveaskog</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26532-2024</t>
        </is>
      </c>
      <c r="B12450" s="1" t="n">
        <v>45469.61131944445</v>
      </c>
      <c r="C12450" s="1" t="n">
        <v>46011</v>
      </c>
      <c r="D12450" t="inlineStr">
        <is>
          <t>VÄSTRA GÖTALANDS LÄN</t>
        </is>
      </c>
      <c r="E12450" t="inlineStr">
        <is>
          <t>TIDAHOLM</t>
        </is>
      </c>
      <c r="F12450" t="inlineStr">
        <is>
          <t>Sveaskog</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15704-2023</t>
        </is>
      </c>
      <c r="B12451" s="1" t="n">
        <v>45021</v>
      </c>
      <c r="C12451" s="1" t="n">
        <v>46011</v>
      </c>
      <c r="D12451" t="inlineStr">
        <is>
          <t>VÄSTRA GÖTALANDS LÄN</t>
        </is>
      </c>
      <c r="E12451" t="inlineStr">
        <is>
          <t>TROLLHÄTTAN</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60177-2023</t>
        </is>
      </c>
      <c r="B12452" s="1" t="n">
        <v>45258.56780092593</v>
      </c>
      <c r="C12452" s="1" t="n">
        <v>46011</v>
      </c>
      <c r="D12452" t="inlineStr">
        <is>
          <t>VÄSTRA GÖTALANDS LÄN</t>
        </is>
      </c>
      <c r="E12452" t="inlineStr">
        <is>
          <t>BENGTSFORS</t>
        </is>
      </c>
      <c r="G12452" t="n">
        <v>5.2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19051-2023</t>
        </is>
      </c>
      <c r="B12453" s="1" t="n">
        <v>45047</v>
      </c>
      <c r="C12453" s="1" t="n">
        <v>46011</v>
      </c>
      <c r="D12453" t="inlineStr">
        <is>
          <t>VÄSTRA GÖTALANDS LÄN</t>
        </is>
      </c>
      <c r="E12453" t="inlineStr">
        <is>
          <t>VÄNERSBORG</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61766-2022</t>
        </is>
      </c>
      <c r="B12454" s="1" t="n">
        <v>44917.50943287037</v>
      </c>
      <c r="C12454" s="1" t="n">
        <v>46011</v>
      </c>
      <c r="D12454" t="inlineStr">
        <is>
          <t>VÄSTRA GÖTALANDS LÄN</t>
        </is>
      </c>
      <c r="E12454" t="inlineStr">
        <is>
          <t>HERRLJUNGA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61814-2022</t>
        </is>
      </c>
      <c r="B12455" s="1" t="n">
        <v>44917.57796296296</v>
      </c>
      <c r="C12455" s="1" t="n">
        <v>46011</v>
      </c>
      <c r="D12455" t="inlineStr">
        <is>
          <t>VÄSTRA GÖTALANDS LÄN</t>
        </is>
      </c>
      <c r="E12455" t="inlineStr">
        <is>
          <t>ÅMÅL</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9797-2023</t>
        </is>
      </c>
      <c r="B12456" s="1" t="n">
        <v>44984</v>
      </c>
      <c r="C12456" s="1" t="n">
        <v>46011</v>
      </c>
      <c r="D12456" t="inlineStr">
        <is>
          <t>VÄSTRA GÖTALANDS LÄN</t>
        </is>
      </c>
      <c r="E12456" t="inlineStr">
        <is>
          <t>UDDEVALLA</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60277-2023</t>
        </is>
      </c>
      <c r="B12457" s="1" t="n">
        <v>45258.68091435185</v>
      </c>
      <c r="C12457" s="1" t="n">
        <v>46011</v>
      </c>
      <c r="D12457" t="inlineStr">
        <is>
          <t>VÄSTRA GÖTALANDS LÄN</t>
        </is>
      </c>
      <c r="E12457" t="inlineStr">
        <is>
          <t>ULRICEHAMN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4542-2025</t>
        </is>
      </c>
      <c r="B12458" s="1" t="n">
        <v>45687.39540509259</v>
      </c>
      <c r="C12458" s="1" t="n">
        <v>46011</v>
      </c>
      <c r="D12458" t="inlineStr">
        <is>
          <t>VÄSTRA GÖTALANDS LÄN</t>
        </is>
      </c>
      <c r="E12458" t="inlineStr">
        <is>
          <t>SKARA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11261-2024</t>
        </is>
      </c>
      <c r="B12459" s="1" t="n">
        <v>45371.67425925926</v>
      </c>
      <c r="C12459" s="1" t="n">
        <v>46011</v>
      </c>
      <c r="D12459" t="inlineStr">
        <is>
          <t>VÄSTRA GÖTALANDS LÄN</t>
        </is>
      </c>
      <c r="E12459" t="inlineStr">
        <is>
          <t>MÖLNDAL</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11262-2024</t>
        </is>
      </c>
      <c r="B12460" s="1" t="n">
        <v>45371.6761574074</v>
      </c>
      <c r="C12460" s="1" t="n">
        <v>46011</v>
      </c>
      <c r="D12460" t="inlineStr">
        <is>
          <t>VÄSTRA GÖTALANDS LÄN</t>
        </is>
      </c>
      <c r="E12460" t="inlineStr">
        <is>
          <t>MUNKEDAL</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55256-2024</t>
        </is>
      </c>
      <c r="B12461" s="1" t="n">
        <v>45620</v>
      </c>
      <c r="C12461" s="1" t="n">
        <v>46011</v>
      </c>
      <c r="D12461" t="inlineStr">
        <is>
          <t>VÄSTRA GÖTALANDS LÄN</t>
        </is>
      </c>
      <c r="E12461" t="inlineStr">
        <is>
          <t>ÅMÅL</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55258-2024</t>
        </is>
      </c>
      <c r="B12462" s="1" t="n">
        <v>45621.60280092592</v>
      </c>
      <c r="C12462" s="1" t="n">
        <v>46011</v>
      </c>
      <c r="D12462" t="inlineStr">
        <is>
          <t>VÄSTRA GÖTALANDS LÄN</t>
        </is>
      </c>
      <c r="E12462" t="inlineStr">
        <is>
          <t>TANUM</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30796-2024</t>
        </is>
      </c>
      <c r="B12463" s="1" t="n">
        <v>45497.36230324074</v>
      </c>
      <c r="C12463" s="1" t="n">
        <v>46011</v>
      </c>
      <c r="D12463" t="inlineStr">
        <is>
          <t>VÄSTRA GÖTALANDS LÄN</t>
        </is>
      </c>
      <c r="E12463" t="inlineStr">
        <is>
          <t>TROLLHÄTTAN</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15322-2024</t>
        </is>
      </c>
      <c r="B12464" s="1" t="n">
        <v>45400.66760416667</v>
      </c>
      <c r="C12464" s="1" t="n">
        <v>46011</v>
      </c>
      <c r="D12464" t="inlineStr">
        <is>
          <t>VÄSTRA GÖTALANDS LÄN</t>
        </is>
      </c>
      <c r="E12464" t="inlineStr">
        <is>
          <t>SVENLJUNGA</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16152-2024</t>
        </is>
      </c>
      <c r="B12465" s="1" t="n">
        <v>45406.57743055555</v>
      </c>
      <c r="C12465" s="1" t="n">
        <v>46011</v>
      </c>
      <c r="D12465" t="inlineStr">
        <is>
          <t>VÄSTRA GÖTALANDS LÄN</t>
        </is>
      </c>
      <c r="E12465" t="inlineStr">
        <is>
          <t>TROLLHÄTTAN</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57684-2022</t>
        </is>
      </c>
      <c r="B12466" s="1" t="n">
        <v>44897.47668981482</v>
      </c>
      <c r="C12466" s="1" t="n">
        <v>46011</v>
      </c>
      <c r="D12466" t="inlineStr">
        <is>
          <t>VÄSTRA GÖTALANDS LÄN</t>
        </is>
      </c>
      <c r="E12466" t="inlineStr">
        <is>
          <t>TANUM</t>
        </is>
      </c>
      <c r="G12466" t="n">
        <v>8.199999999999999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57768-2022</t>
        </is>
      </c>
      <c r="B12467" s="1" t="n">
        <v>44892</v>
      </c>
      <c r="C12467" s="1" t="n">
        <v>46011</v>
      </c>
      <c r="D12467" t="inlineStr">
        <is>
          <t>VÄSTRA GÖTALANDS LÄN</t>
        </is>
      </c>
      <c r="E12467" t="inlineStr">
        <is>
          <t>STRÖMSTAD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44508-2024</t>
        </is>
      </c>
      <c r="B12468" s="1" t="n">
        <v>45574.41392361111</v>
      </c>
      <c r="C12468" s="1" t="n">
        <v>46011</v>
      </c>
      <c r="D12468" t="inlineStr">
        <is>
          <t>VÄSTRA GÖTALANDS LÄN</t>
        </is>
      </c>
      <c r="E12468" t="inlineStr">
        <is>
          <t>MARK</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2478-2021</t>
        </is>
      </c>
      <c r="B12469" s="1" t="n">
        <v>44214</v>
      </c>
      <c r="C12469" s="1" t="n">
        <v>46011</v>
      </c>
      <c r="D12469" t="inlineStr">
        <is>
          <t>VÄSTRA GÖTALANDS LÄN</t>
        </is>
      </c>
      <c r="E12469" t="inlineStr">
        <is>
          <t>VÅRGÅRDA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35059-2023</t>
        </is>
      </c>
      <c r="B12470" s="1" t="n">
        <v>45142</v>
      </c>
      <c r="C12470" s="1" t="n">
        <v>46011</v>
      </c>
      <c r="D12470" t="inlineStr">
        <is>
          <t>VÄSTRA GÖTALANDS LÄN</t>
        </is>
      </c>
      <c r="E12470" t="inlineStr">
        <is>
          <t>VARA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6003-2023</t>
        </is>
      </c>
      <c r="B12471" s="1" t="n">
        <v>44964.39972222222</v>
      </c>
      <c r="C12471" s="1" t="n">
        <v>46011</v>
      </c>
      <c r="D12471" t="inlineStr">
        <is>
          <t>VÄSTRA GÖTALANDS LÄN</t>
        </is>
      </c>
      <c r="E12471" t="inlineStr">
        <is>
          <t>VÅRGÅRDA</t>
        </is>
      </c>
      <c r="F12471" t="inlineStr">
        <is>
          <t>Sveaskog</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39459-2023</t>
        </is>
      </c>
      <c r="B12472" s="1" t="n">
        <v>45166.81715277778</v>
      </c>
      <c r="C12472" s="1" t="n">
        <v>46011</v>
      </c>
      <c r="D12472" t="inlineStr">
        <is>
          <t>VÄSTRA GÖTALANDS LÄN</t>
        </is>
      </c>
      <c r="E12472" t="inlineStr">
        <is>
          <t>TIBRO</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60931-2022</t>
        </is>
      </c>
      <c r="B12473" s="1" t="n">
        <v>44914.61763888889</v>
      </c>
      <c r="C12473" s="1" t="n">
        <v>46011</v>
      </c>
      <c r="D12473" t="inlineStr">
        <is>
          <t>VÄSTRA GÖTALANDS LÄN</t>
        </is>
      </c>
      <c r="E12473" t="inlineStr">
        <is>
          <t>BORÅS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4906-2024</t>
        </is>
      </c>
      <c r="B12474" s="1" t="n">
        <v>45329.47921296296</v>
      </c>
      <c r="C12474" s="1" t="n">
        <v>46011</v>
      </c>
      <c r="D12474" t="inlineStr">
        <is>
          <t>VÄSTRA GÖTALANDS LÄN</t>
        </is>
      </c>
      <c r="E12474" t="inlineStr">
        <is>
          <t>TROLLHÄTTAN</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6270-2023</t>
        </is>
      </c>
      <c r="B12475" s="1" t="n">
        <v>44965.39467592593</v>
      </c>
      <c r="C12475" s="1" t="n">
        <v>46011</v>
      </c>
      <c r="D12475" t="inlineStr">
        <is>
          <t>VÄSTRA GÖTALANDS LÄN</t>
        </is>
      </c>
      <c r="E12475" t="inlineStr">
        <is>
          <t>VÄNERSBORG</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58560-2021</t>
        </is>
      </c>
      <c r="B12476" s="1" t="n">
        <v>44488.83150462963</v>
      </c>
      <c r="C12476" s="1" t="n">
        <v>46011</v>
      </c>
      <c r="D12476" t="inlineStr">
        <is>
          <t>VÄSTRA GÖTALANDS LÄN</t>
        </is>
      </c>
      <c r="E12476" t="inlineStr">
        <is>
          <t>ULRICEHAMN</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62304-2021</t>
        </is>
      </c>
      <c r="B12477" s="1" t="n">
        <v>44503.38475694445</v>
      </c>
      <c r="C12477" s="1" t="n">
        <v>46011</v>
      </c>
      <c r="D12477" t="inlineStr">
        <is>
          <t>VÄSTRA GÖTALANDS LÄN</t>
        </is>
      </c>
      <c r="E12477" t="inlineStr">
        <is>
          <t>KARLSBORG</t>
        </is>
      </c>
      <c r="F12477" t="inlineStr">
        <is>
          <t>Sveaskog</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50946-2023</t>
        </is>
      </c>
      <c r="B12478" s="1" t="n">
        <v>45218.46844907408</v>
      </c>
      <c r="C12478" s="1" t="n">
        <v>46011</v>
      </c>
      <c r="D12478" t="inlineStr">
        <is>
          <t>VÄSTRA GÖTALANDS LÄN</t>
        </is>
      </c>
      <c r="E12478" t="inlineStr">
        <is>
          <t>BENGTSFORS</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13777-2024</t>
        </is>
      </c>
      <c r="B12479" s="1" t="n">
        <v>45391.31891203704</v>
      </c>
      <c r="C12479" s="1" t="n">
        <v>46011</v>
      </c>
      <c r="D12479" t="inlineStr">
        <is>
          <t>VÄSTRA GÖTALANDS LÄN</t>
        </is>
      </c>
      <c r="E12479" t="inlineStr">
        <is>
          <t>SVENLJUNGA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3858-2024</t>
        </is>
      </c>
      <c r="B12480" s="1" t="n">
        <v>45322.36609953704</v>
      </c>
      <c r="C12480" s="1" t="n">
        <v>46011</v>
      </c>
      <c r="D12480" t="inlineStr">
        <is>
          <t>VÄSTRA GÖTALANDS LÄN</t>
        </is>
      </c>
      <c r="E12480" t="inlineStr">
        <is>
          <t>MUNKEDAL</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3867-2024</t>
        </is>
      </c>
      <c r="B12481" s="1" t="n">
        <v>45322.40543981481</v>
      </c>
      <c r="C12481" s="1" t="n">
        <v>46011</v>
      </c>
      <c r="D12481" t="inlineStr">
        <is>
          <t>VÄSTRA GÖTALANDS LÄN</t>
        </is>
      </c>
      <c r="E12481" t="inlineStr">
        <is>
          <t>ESSUNGA</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3868-2024</t>
        </is>
      </c>
      <c r="B12482" s="1" t="n">
        <v>45322.40641203704</v>
      </c>
      <c r="C12482" s="1" t="n">
        <v>46011</v>
      </c>
      <c r="D12482" t="inlineStr">
        <is>
          <t>VÄSTRA GÖTALANDS LÄN</t>
        </is>
      </c>
      <c r="E12482" t="inlineStr">
        <is>
          <t>ESSUNGA</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19168-2025</t>
        </is>
      </c>
      <c r="B12483" s="1" t="n">
        <v>45769.38744212963</v>
      </c>
      <c r="C12483" s="1" t="n">
        <v>46011</v>
      </c>
      <c r="D12483" t="inlineStr">
        <is>
          <t>VÄSTRA GÖTALANDS LÄN</t>
        </is>
      </c>
      <c r="E12483" t="inlineStr">
        <is>
          <t>BORÅS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3163-2024</t>
        </is>
      </c>
      <c r="B12484" s="1" t="n">
        <v>45316</v>
      </c>
      <c r="C12484" s="1" t="n">
        <v>46011</v>
      </c>
      <c r="D12484" t="inlineStr">
        <is>
          <t>VÄSTRA GÖTALANDS LÄN</t>
        </is>
      </c>
      <c r="E12484" t="inlineStr">
        <is>
          <t>TRANEMO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62146-2023</t>
        </is>
      </c>
      <c r="B12485" s="1" t="n">
        <v>45267.37630787037</v>
      </c>
      <c r="C12485" s="1" t="n">
        <v>46011</v>
      </c>
      <c r="D12485" t="inlineStr">
        <is>
          <t>VÄSTRA GÖTALANDS LÄN</t>
        </is>
      </c>
      <c r="E12485" t="inlineStr">
        <is>
          <t>FÄRGELANDA</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22769-2021</t>
        </is>
      </c>
      <c r="B12486" s="1" t="n">
        <v>44327</v>
      </c>
      <c r="C12486" s="1" t="n">
        <v>46011</v>
      </c>
      <c r="D12486" t="inlineStr">
        <is>
          <t>VÄSTRA GÖTALANDS LÄN</t>
        </is>
      </c>
      <c r="E12486" t="inlineStr">
        <is>
          <t>TANUM</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59053-2024</t>
        </is>
      </c>
      <c r="B12487" s="1" t="n">
        <v>45636.80626157407</v>
      </c>
      <c r="C12487" s="1" t="n">
        <v>46011</v>
      </c>
      <c r="D12487" t="inlineStr">
        <is>
          <t>VÄSTRA GÖTALANDS LÄN</t>
        </is>
      </c>
      <c r="E12487" t="inlineStr">
        <is>
          <t>SKÖVDE</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59069-2024</t>
        </is>
      </c>
      <c r="B12488" s="1" t="n">
        <v>45636.95501157407</v>
      </c>
      <c r="C12488" s="1" t="n">
        <v>46011</v>
      </c>
      <c r="D12488" t="inlineStr">
        <is>
          <t>VÄSTRA GÖTALANDS LÄN</t>
        </is>
      </c>
      <c r="E12488" t="inlineStr">
        <is>
          <t>ULRICEHAMN</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564-2021</t>
        </is>
      </c>
      <c r="B12489" s="1" t="n">
        <v>44203</v>
      </c>
      <c r="C12489" s="1" t="n">
        <v>46011</v>
      </c>
      <c r="D12489" t="inlineStr">
        <is>
          <t>VÄSTRA GÖTALANDS LÄN</t>
        </is>
      </c>
      <c r="E12489" t="inlineStr">
        <is>
          <t>ESSUNGA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572-2021</t>
        </is>
      </c>
      <c r="B12490" s="1" t="n">
        <v>44203</v>
      </c>
      <c r="C12490" s="1" t="n">
        <v>46011</v>
      </c>
      <c r="D12490" t="inlineStr">
        <is>
          <t>VÄSTRA GÖTALANDS LÄN</t>
        </is>
      </c>
      <c r="E12490" t="inlineStr">
        <is>
          <t>ESSUNGA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57877-2022</t>
        </is>
      </c>
      <c r="B12491" s="1" t="n">
        <v>44899.8749537037</v>
      </c>
      <c r="C12491" s="1" t="n">
        <v>46011</v>
      </c>
      <c r="D12491" t="inlineStr">
        <is>
          <t>VÄSTRA GÖTALANDS LÄN</t>
        </is>
      </c>
      <c r="E12491" t="inlineStr">
        <is>
          <t>ORUST</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57906-2022</t>
        </is>
      </c>
      <c r="B12492" s="1" t="n">
        <v>44900</v>
      </c>
      <c r="C12492" s="1" t="n">
        <v>46011</v>
      </c>
      <c r="D12492" t="inlineStr">
        <is>
          <t>VÄSTRA GÖTALANDS LÄN</t>
        </is>
      </c>
      <c r="E12492" t="inlineStr">
        <is>
          <t>BORÅS</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5773-2023</t>
        </is>
      </c>
      <c r="B12493" s="1" t="n">
        <v>44963.37827546296</v>
      </c>
      <c r="C12493" s="1" t="n">
        <v>46011</v>
      </c>
      <c r="D12493" t="inlineStr">
        <is>
          <t>VÄSTRA GÖTALANDS LÄN</t>
        </is>
      </c>
      <c r="E12493" t="inlineStr">
        <is>
          <t>HJO</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51665-2024</t>
        </is>
      </c>
      <c r="B12494" s="1" t="n">
        <v>45606.84010416667</v>
      </c>
      <c r="C12494" s="1" t="n">
        <v>46011</v>
      </c>
      <c r="D12494" t="inlineStr">
        <is>
          <t>VÄSTRA GÖTALANDS LÄN</t>
        </is>
      </c>
      <c r="E12494" t="inlineStr">
        <is>
          <t>ULRICEHAMN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4279-2025</t>
        </is>
      </c>
      <c r="B12495" s="1" t="n">
        <v>45685.63891203704</v>
      </c>
      <c r="C12495" s="1" t="n">
        <v>46011</v>
      </c>
      <c r="D12495" t="inlineStr">
        <is>
          <t>VÄSTRA GÖTALANDS LÄN</t>
        </is>
      </c>
      <c r="E12495" t="inlineStr">
        <is>
          <t>BENGTSFORS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4285-2025</t>
        </is>
      </c>
      <c r="B12496" s="1" t="n">
        <v>45685.64887731482</v>
      </c>
      <c r="C12496" s="1" t="n">
        <v>46011</v>
      </c>
      <c r="D12496" t="inlineStr">
        <is>
          <t>VÄSTRA GÖTALANDS LÄN</t>
        </is>
      </c>
      <c r="E12496" t="inlineStr">
        <is>
          <t>FÄRGELANDA</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4300-2025</t>
        </is>
      </c>
      <c r="B12497" s="1" t="n">
        <v>45685</v>
      </c>
      <c r="C12497" s="1" t="n">
        <v>46011</v>
      </c>
      <c r="D12497" t="inlineStr">
        <is>
          <t>VÄSTRA GÖTALANDS LÄN</t>
        </is>
      </c>
      <c r="E12497" t="inlineStr">
        <is>
          <t>TÖREBODA</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33721-2024</t>
        </is>
      </c>
      <c r="B12498" s="1" t="n">
        <v>45520.5412037037</v>
      </c>
      <c r="C12498" s="1" t="n">
        <v>46011</v>
      </c>
      <c r="D12498" t="inlineStr">
        <is>
          <t>VÄSTRA GÖTALANDS LÄN</t>
        </is>
      </c>
      <c r="E12498" t="inlineStr">
        <is>
          <t>ALINGSÅS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63509-2023</t>
        </is>
      </c>
      <c r="B12499" s="1" t="n">
        <v>45274</v>
      </c>
      <c r="C12499" s="1" t="n">
        <v>46011</v>
      </c>
      <c r="D12499" t="inlineStr">
        <is>
          <t>VÄSTRA GÖTALANDS LÄN</t>
        </is>
      </c>
      <c r="E12499" t="inlineStr">
        <is>
          <t>VÄNERSBORG</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52269-2022</t>
        </is>
      </c>
      <c r="B12500" s="1" t="n">
        <v>44873</v>
      </c>
      <c r="C12500" s="1" t="n">
        <v>46011</v>
      </c>
      <c r="D12500" t="inlineStr">
        <is>
          <t>VÄSTRA GÖTALANDS LÄN</t>
        </is>
      </c>
      <c r="E12500" t="inlineStr">
        <is>
          <t>MELLERUD</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73728-2021</t>
        </is>
      </c>
      <c r="B12501" s="1" t="n">
        <v>44552</v>
      </c>
      <c r="C12501" s="1" t="n">
        <v>46011</v>
      </c>
      <c r="D12501" t="inlineStr">
        <is>
          <t>VÄSTRA GÖTALANDS LÄN</t>
        </is>
      </c>
      <c r="E12501" t="inlineStr">
        <is>
          <t>TIDAHOLM</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30411-2021</t>
        </is>
      </c>
      <c r="B12502" s="1" t="n">
        <v>44364.53988425926</v>
      </c>
      <c r="C12502" s="1" t="n">
        <v>46011</v>
      </c>
      <c r="D12502" t="inlineStr">
        <is>
          <t>VÄSTRA GÖTALANDS LÄN</t>
        </is>
      </c>
      <c r="E12502" t="inlineStr">
        <is>
          <t>HJO</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42205-2022</t>
        </is>
      </c>
      <c r="B12503" s="1" t="n">
        <v>44830.65798611111</v>
      </c>
      <c r="C12503" s="1" t="n">
        <v>46011</v>
      </c>
      <c r="D12503" t="inlineStr">
        <is>
          <t>VÄSTRA GÖTALANDS LÄN</t>
        </is>
      </c>
      <c r="E12503" t="inlineStr">
        <is>
          <t>ULRICEHAMN</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61587-2021</t>
        </is>
      </c>
      <c r="B12504" s="1" t="n">
        <v>44501.45686342593</v>
      </c>
      <c r="C12504" s="1" t="n">
        <v>46011</v>
      </c>
      <c r="D12504" t="inlineStr">
        <is>
          <t>VÄSTRA GÖTALANDS LÄN</t>
        </is>
      </c>
      <c r="E12504" t="inlineStr">
        <is>
          <t>TIDAHOLM</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39601-2024</t>
        </is>
      </c>
      <c r="B12505" s="1" t="n">
        <v>45552.38377314815</v>
      </c>
      <c r="C12505" s="1" t="n">
        <v>46011</v>
      </c>
      <c r="D12505" t="inlineStr">
        <is>
          <t>VÄSTRA GÖTALANDS LÄN</t>
        </is>
      </c>
      <c r="E12505" t="inlineStr">
        <is>
          <t>MARK</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13378-2023</t>
        </is>
      </c>
      <c r="B12506" s="1" t="n">
        <v>45005.50077546296</v>
      </c>
      <c r="C12506" s="1" t="n">
        <v>46011</v>
      </c>
      <c r="D12506" t="inlineStr">
        <is>
          <t>VÄSTRA GÖTALANDS LÄN</t>
        </is>
      </c>
      <c r="E12506" t="inlineStr">
        <is>
          <t>ORUST</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13379-2023</t>
        </is>
      </c>
      <c r="B12507" s="1" t="n">
        <v>45005.50252314815</v>
      </c>
      <c r="C12507" s="1" t="n">
        <v>46011</v>
      </c>
      <c r="D12507" t="inlineStr">
        <is>
          <t>VÄSTRA GÖTALANDS LÄN</t>
        </is>
      </c>
      <c r="E12507" t="inlineStr">
        <is>
          <t>UDDEVALLA</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17801-2021</t>
        </is>
      </c>
      <c r="B12508" s="1" t="n">
        <v>44300.63430555556</v>
      </c>
      <c r="C12508" s="1" t="n">
        <v>46011</v>
      </c>
      <c r="D12508" t="inlineStr">
        <is>
          <t>VÄSTRA GÖTALANDS LÄN</t>
        </is>
      </c>
      <c r="E12508" t="inlineStr">
        <is>
          <t>TIDAHOLM</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5932-2021</t>
        </is>
      </c>
      <c r="B12509" s="1" t="n">
        <v>44229</v>
      </c>
      <c r="C12509" s="1" t="n">
        <v>46011</v>
      </c>
      <c r="D12509" t="inlineStr">
        <is>
          <t>VÄSTRA GÖTALANDS LÄN</t>
        </is>
      </c>
      <c r="E12509" t="inlineStr">
        <is>
          <t>VÄNERSBORG</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48597-2022</t>
        </is>
      </c>
      <c r="B12510" s="1" t="n">
        <v>44854</v>
      </c>
      <c r="C12510" s="1" t="n">
        <v>46011</v>
      </c>
      <c r="D12510" t="inlineStr">
        <is>
          <t>VÄSTRA GÖTALANDS LÄN</t>
        </is>
      </c>
      <c r="E12510" t="inlineStr">
        <is>
          <t>HERRLJUNGA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41309-2024</t>
        </is>
      </c>
      <c r="B12511" s="1" t="n">
        <v>45559</v>
      </c>
      <c r="C12511" s="1" t="n">
        <v>46011</v>
      </c>
      <c r="D12511" t="inlineStr">
        <is>
          <t>VÄSTRA GÖTALANDS LÄN</t>
        </is>
      </c>
      <c r="E12511" t="inlineStr">
        <is>
          <t>ALE</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41370-2024</t>
        </is>
      </c>
      <c r="B12512" s="1" t="n">
        <v>45559.79987268519</v>
      </c>
      <c r="C12512" s="1" t="n">
        <v>46011</v>
      </c>
      <c r="D12512" t="inlineStr">
        <is>
          <t>VÄSTRA GÖTALANDS LÄN</t>
        </is>
      </c>
      <c r="E12512" t="inlineStr">
        <is>
          <t>SVENLJUNGA</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3487-2022</t>
        </is>
      </c>
      <c r="B12513" s="1" t="n">
        <v>44585.64229166666</v>
      </c>
      <c r="C12513" s="1" t="n">
        <v>46011</v>
      </c>
      <c r="D12513" t="inlineStr">
        <is>
          <t>VÄSTRA GÖTALANDS LÄN</t>
        </is>
      </c>
      <c r="E12513" t="inlineStr">
        <is>
          <t>TANUM</t>
        </is>
      </c>
      <c r="G12513" t="n">
        <v>8.5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16479-2021</t>
        </is>
      </c>
      <c r="B12514" s="1" t="n">
        <v>44293.554375</v>
      </c>
      <c r="C12514" s="1" t="n">
        <v>46011</v>
      </c>
      <c r="D12514" t="inlineStr">
        <is>
          <t>VÄSTRA GÖTALANDS LÄN</t>
        </is>
      </c>
      <c r="E12514" t="inlineStr">
        <is>
          <t>TANUM</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17842-2021</t>
        </is>
      </c>
      <c r="B12515" s="1" t="n">
        <v>44300</v>
      </c>
      <c r="C12515" s="1" t="n">
        <v>46011</v>
      </c>
      <c r="D12515" t="inlineStr">
        <is>
          <t>VÄSTRA GÖTALANDS LÄN</t>
        </is>
      </c>
      <c r="E12515" t="inlineStr">
        <is>
          <t>DALS-ED</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809-2022</t>
        </is>
      </c>
      <c r="B12516" s="1" t="n">
        <v>44571</v>
      </c>
      <c r="C12516" s="1" t="n">
        <v>46011</v>
      </c>
      <c r="D12516" t="inlineStr">
        <is>
          <t>VÄSTRA GÖTALANDS LÄN</t>
        </is>
      </c>
      <c r="E12516" t="inlineStr">
        <is>
          <t>HJO</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18849-2021</t>
        </is>
      </c>
      <c r="B12517" s="1" t="n">
        <v>44307</v>
      </c>
      <c r="C12517" s="1" t="n">
        <v>46011</v>
      </c>
      <c r="D12517" t="inlineStr">
        <is>
          <t>VÄSTRA GÖTALANDS LÄN</t>
        </is>
      </c>
      <c r="E12517" t="inlineStr">
        <is>
          <t>MELLERUD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6603-2021</t>
        </is>
      </c>
      <c r="B12518" s="1" t="n">
        <v>44236.46976851852</v>
      </c>
      <c r="C12518" s="1" t="n">
        <v>46011</v>
      </c>
      <c r="D12518" t="inlineStr">
        <is>
          <t>VÄSTRA GÖTALANDS LÄN</t>
        </is>
      </c>
      <c r="E12518" t="inlineStr">
        <is>
          <t>VÅRGÅRDA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50712-2021</t>
        </is>
      </c>
      <c r="B12519" s="1" t="n">
        <v>44460.36731481482</v>
      </c>
      <c r="C12519" s="1" t="n">
        <v>46011</v>
      </c>
      <c r="D12519" t="inlineStr">
        <is>
          <t>VÄSTRA GÖTALANDS LÄN</t>
        </is>
      </c>
      <c r="E12519" t="inlineStr">
        <is>
          <t>VARA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50713-2021</t>
        </is>
      </c>
      <c r="B12520" s="1" t="n">
        <v>44460.36797453704</v>
      </c>
      <c r="C12520" s="1" t="n">
        <v>46011</v>
      </c>
      <c r="D12520" t="inlineStr">
        <is>
          <t>VÄSTRA GÖTALANDS LÄN</t>
        </is>
      </c>
      <c r="E12520" t="inlineStr">
        <is>
          <t>VARA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58734-2021</t>
        </is>
      </c>
      <c r="B12521" s="1" t="n">
        <v>44489.4964699074</v>
      </c>
      <c r="C12521" s="1" t="n">
        <v>46011</v>
      </c>
      <c r="D12521" t="inlineStr">
        <is>
          <t>VÄSTRA GÖTALANDS LÄN</t>
        </is>
      </c>
      <c r="E12521" t="inlineStr">
        <is>
          <t>BORÅS</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58996-2022</t>
        </is>
      </c>
      <c r="B12522" s="1" t="n">
        <v>44903</v>
      </c>
      <c r="C12522" s="1" t="n">
        <v>46011</v>
      </c>
      <c r="D12522" t="inlineStr">
        <is>
          <t>VÄSTRA GÖTALANDS LÄN</t>
        </is>
      </c>
      <c r="E12522" t="inlineStr">
        <is>
          <t>BENGTSFORS</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15953-2022</t>
        </is>
      </c>
      <c r="B12523" s="1" t="n">
        <v>44664</v>
      </c>
      <c r="C12523" s="1" t="n">
        <v>46011</v>
      </c>
      <c r="D12523" t="inlineStr">
        <is>
          <t>VÄSTRA GÖTALANDS LÄN</t>
        </is>
      </c>
      <c r="E12523" t="inlineStr">
        <is>
          <t>TIDAHOLM</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15958-2022</t>
        </is>
      </c>
      <c r="B12524" s="1" t="n">
        <v>44664.84104166667</v>
      </c>
      <c r="C12524" s="1" t="n">
        <v>46011</v>
      </c>
      <c r="D12524" t="inlineStr">
        <is>
          <t>VÄSTRA GÖTALANDS LÄN</t>
        </is>
      </c>
      <c r="E12524" t="inlineStr">
        <is>
          <t>KARLSBORG</t>
        </is>
      </c>
      <c r="F12524" t="inlineStr">
        <is>
          <t>Övriga Aktiebolag</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7428-2022</t>
        </is>
      </c>
      <c r="B12525" s="1" t="n">
        <v>44606.89891203704</v>
      </c>
      <c r="C12525" s="1" t="n">
        <v>46011</v>
      </c>
      <c r="D12525" t="inlineStr">
        <is>
          <t>VÄSTRA GÖTALANDS LÄN</t>
        </is>
      </c>
      <c r="E12525" t="inlineStr">
        <is>
          <t>ULRICEHAMN</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197-2024</t>
        </is>
      </c>
      <c r="B12526" s="1" t="n">
        <v>45294</v>
      </c>
      <c r="C12526" s="1" t="n">
        <v>46011</v>
      </c>
      <c r="D12526" t="inlineStr">
        <is>
          <t>VÄSTRA GÖTALANDS LÄN</t>
        </is>
      </c>
      <c r="E12526" t="inlineStr">
        <is>
          <t>BORÅS</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59996-2022</t>
        </is>
      </c>
      <c r="B12527" s="1" t="n">
        <v>44909</v>
      </c>
      <c r="C12527" s="1" t="n">
        <v>46011</v>
      </c>
      <c r="D12527" t="inlineStr">
        <is>
          <t>VÄSTRA GÖTALANDS LÄN</t>
        </is>
      </c>
      <c r="E12527" t="inlineStr">
        <is>
          <t>SKARA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14990-2023</t>
        </is>
      </c>
      <c r="B12528" s="1" t="n">
        <v>45015</v>
      </c>
      <c r="C12528" s="1" t="n">
        <v>46011</v>
      </c>
      <c r="D12528" t="inlineStr">
        <is>
          <t>VÄSTRA GÖTALANDS LÄN</t>
        </is>
      </c>
      <c r="E12528" t="inlineStr">
        <is>
          <t>BORÅS</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57766-2022</t>
        </is>
      </c>
      <c r="B12529" s="1" t="n">
        <v>44897</v>
      </c>
      <c r="C12529" s="1" t="n">
        <v>46011</v>
      </c>
      <c r="D12529" t="inlineStr">
        <is>
          <t>VÄSTRA GÖTALANDS LÄN</t>
        </is>
      </c>
      <c r="E12529" t="inlineStr">
        <is>
          <t>MARK</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50986-2021</t>
        </is>
      </c>
      <c r="B12530" s="1" t="n">
        <v>44460.71118055555</v>
      </c>
      <c r="C12530" s="1" t="n">
        <v>46011</v>
      </c>
      <c r="D12530" t="inlineStr">
        <is>
          <t>VÄSTRA GÖTALANDS LÄN</t>
        </is>
      </c>
      <c r="E12530" t="inlineStr">
        <is>
          <t>MARK</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38467-2024</t>
        </is>
      </c>
      <c r="B12531" s="1" t="n">
        <v>45546.47134259259</v>
      </c>
      <c r="C12531" s="1" t="n">
        <v>46011</v>
      </c>
      <c r="D12531" t="inlineStr">
        <is>
          <t>VÄSTRA GÖTALANDS LÄN</t>
        </is>
      </c>
      <c r="E12531" t="inlineStr">
        <is>
          <t>HERRLJUNGA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38470-2024</t>
        </is>
      </c>
      <c r="B12532" s="1" t="n">
        <v>45546.47361111111</v>
      </c>
      <c r="C12532" s="1" t="n">
        <v>46011</v>
      </c>
      <c r="D12532" t="inlineStr">
        <is>
          <t>VÄSTRA GÖTALANDS LÄN</t>
        </is>
      </c>
      <c r="E12532" t="inlineStr">
        <is>
          <t>HERRLJUNGA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21493-2021</t>
        </is>
      </c>
      <c r="B12533" s="1" t="n">
        <v>44321.53975694445</v>
      </c>
      <c r="C12533" s="1" t="n">
        <v>46011</v>
      </c>
      <c r="D12533" t="inlineStr">
        <is>
          <t>VÄSTRA GÖTALANDS LÄN</t>
        </is>
      </c>
      <c r="E12533" t="inlineStr">
        <is>
          <t>SKÖVDE</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1068-2023</t>
        </is>
      </c>
      <c r="B12534" s="1" t="n">
        <v>44935</v>
      </c>
      <c r="C12534" s="1" t="n">
        <v>46011</v>
      </c>
      <c r="D12534" t="inlineStr">
        <is>
          <t>VÄSTRA GÖTALANDS LÄN</t>
        </is>
      </c>
      <c r="E12534" t="inlineStr">
        <is>
          <t>MARK</t>
        </is>
      </c>
      <c r="G12534" t="n">
        <v>26.5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4157-2023</t>
        </is>
      </c>
      <c r="B12535" s="1" t="n">
        <v>44953</v>
      </c>
      <c r="C12535" s="1" t="n">
        <v>46011</v>
      </c>
      <c r="D12535" t="inlineStr">
        <is>
          <t>VÄSTRA GÖTALANDS LÄN</t>
        </is>
      </c>
      <c r="E12535" t="inlineStr">
        <is>
          <t>SVENLJUNGA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9516-2024</t>
        </is>
      </c>
      <c r="B12536" s="1" t="n">
        <v>45359</v>
      </c>
      <c r="C12536" s="1" t="n">
        <v>46011</v>
      </c>
      <c r="D12536" t="inlineStr">
        <is>
          <t>VÄSTRA GÖTALANDS LÄN</t>
        </is>
      </c>
      <c r="E12536" t="inlineStr">
        <is>
          <t>BENGTSFORS</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59782-2022</t>
        </is>
      </c>
      <c r="B12537" s="1" t="n">
        <v>44900</v>
      </c>
      <c r="C12537" s="1" t="n">
        <v>46011</v>
      </c>
      <c r="D12537" t="inlineStr">
        <is>
          <t>VÄSTRA GÖTALANDS LÄN</t>
        </is>
      </c>
      <c r="E12537" t="inlineStr">
        <is>
          <t>VARA</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59821-2022</t>
        </is>
      </c>
      <c r="B12538" s="1" t="n">
        <v>44908</v>
      </c>
      <c r="C12538" s="1" t="n">
        <v>46011</v>
      </c>
      <c r="D12538" t="inlineStr">
        <is>
          <t>VÄSTRA GÖTALANDS LÄN</t>
        </is>
      </c>
      <c r="E12538" t="inlineStr">
        <is>
          <t>TANUM</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15300-2024</t>
        </is>
      </c>
      <c r="B12539" s="1" t="n">
        <v>45400.63381944445</v>
      </c>
      <c r="C12539" s="1" t="n">
        <v>46011</v>
      </c>
      <c r="D12539" t="inlineStr">
        <is>
          <t>VÄSTRA GÖTALANDS LÄN</t>
        </is>
      </c>
      <c r="E12539" t="inlineStr">
        <is>
          <t>MUNKEDAL</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15306-2024</t>
        </is>
      </c>
      <c r="B12540" s="1" t="n">
        <v>45400.64541666667</v>
      </c>
      <c r="C12540" s="1" t="n">
        <v>46011</v>
      </c>
      <c r="D12540" t="inlineStr">
        <is>
          <t>VÄSTRA GÖTALANDS LÄN</t>
        </is>
      </c>
      <c r="E12540" t="inlineStr">
        <is>
          <t>ESSUNGA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15310-2024</t>
        </is>
      </c>
      <c r="B12541" s="1" t="n">
        <v>45400.65037037037</v>
      </c>
      <c r="C12541" s="1" t="n">
        <v>46011</v>
      </c>
      <c r="D12541" t="inlineStr">
        <is>
          <t>VÄSTRA GÖTALANDS LÄN</t>
        </is>
      </c>
      <c r="E12541" t="inlineStr">
        <is>
          <t>TANUM</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15323-2024</t>
        </is>
      </c>
      <c r="B12542" s="1" t="n">
        <v>45400.66951388889</v>
      </c>
      <c r="C12542" s="1" t="n">
        <v>46011</v>
      </c>
      <c r="D12542" t="inlineStr">
        <is>
          <t>VÄSTRA GÖTALANDS LÄN</t>
        </is>
      </c>
      <c r="E12542" t="inlineStr">
        <is>
          <t>MELLERUD</t>
        </is>
      </c>
      <c r="G12542" t="n">
        <v>10.6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4290-2023</t>
        </is>
      </c>
      <c r="B12543" s="1" t="n">
        <v>44953.60280092592</v>
      </c>
      <c r="C12543" s="1" t="n">
        <v>46011</v>
      </c>
      <c r="D12543" t="inlineStr">
        <is>
          <t>VÄSTRA GÖTALANDS LÄN</t>
        </is>
      </c>
      <c r="E12543" t="inlineStr">
        <is>
          <t>GULLSPÅNG</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12937-2024</t>
        </is>
      </c>
      <c r="B12544" s="1" t="n">
        <v>45385</v>
      </c>
      <c r="C12544" s="1" t="n">
        <v>46011</v>
      </c>
      <c r="D12544" t="inlineStr">
        <is>
          <t>VÄSTRA GÖTALANDS LÄN</t>
        </is>
      </c>
      <c r="E12544" t="inlineStr">
        <is>
          <t>SKARA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6598-2022</t>
        </is>
      </c>
      <c r="B12545" s="1" t="n">
        <v>44601</v>
      </c>
      <c r="C12545" s="1" t="n">
        <v>46011</v>
      </c>
      <c r="D12545" t="inlineStr">
        <is>
          <t>VÄSTRA GÖTALANDS LÄN</t>
        </is>
      </c>
      <c r="E12545" t="inlineStr">
        <is>
          <t>SKÖVDE</t>
        </is>
      </c>
      <c r="F12545" t="inlineStr">
        <is>
          <t>Kommuner</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4780-2022</t>
        </is>
      </c>
      <c r="B12546" s="1" t="n">
        <v>44592.62657407407</v>
      </c>
      <c r="C12546" s="1" t="n">
        <v>46011</v>
      </c>
      <c r="D12546" t="inlineStr">
        <is>
          <t>VÄSTRA GÖTALANDS LÄN</t>
        </is>
      </c>
      <c r="E12546" t="inlineStr">
        <is>
          <t>SOTENÄS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11902-2023</t>
        </is>
      </c>
      <c r="B12547" s="1" t="n">
        <v>44995</v>
      </c>
      <c r="C12547" s="1" t="n">
        <v>46011</v>
      </c>
      <c r="D12547" t="inlineStr">
        <is>
          <t>VÄSTRA GÖTALANDS LÄN</t>
        </is>
      </c>
      <c r="E12547" t="inlineStr">
        <is>
          <t>SKARA</t>
        </is>
      </c>
      <c r="G12547" t="n">
        <v>13.5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11903-2023</t>
        </is>
      </c>
      <c r="B12548" s="1" t="n">
        <v>44995</v>
      </c>
      <c r="C12548" s="1" t="n">
        <v>46011</v>
      </c>
      <c r="D12548" t="inlineStr">
        <is>
          <t>VÄSTRA GÖTALANDS LÄN</t>
        </is>
      </c>
      <c r="E12548" t="inlineStr">
        <is>
          <t>BORÅS</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923-2025</t>
        </is>
      </c>
      <c r="B12549" s="1" t="n">
        <v>45665.81203703704</v>
      </c>
      <c r="C12549" s="1" t="n">
        <v>46011</v>
      </c>
      <c r="D12549" t="inlineStr">
        <is>
          <t>VÄSTRA GÖTALANDS LÄN</t>
        </is>
      </c>
      <c r="E12549" t="inlineStr">
        <is>
          <t>TIDAHOLM</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43350-2021</t>
        </is>
      </c>
      <c r="B12550" s="1" t="n">
        <v>44432</v>
      </c>
      <c r="C12550" s="1" t="n">
        <v>46011</v>
      </c>
      <c r="D12550" t="inlineStr">
        <is>
          <t>VÄSTRA GÖTALANDS LÄN</t>
        </is>
      </c>
      <c r="E12550" t="inlineStr">
        <is>
          <t>MARK</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6515-2023</t>
        </is>
      </c>
      <c r="B12551" s="1" t="n">
        <v>44966.38423611111</v>
      </c>
      <c r="C12551" s="1" t="n">
        <v>46011</v>
      </c>
      <c r="D12551" t="inlineStr">
        <is>
          <t>VÄSTRA GÖTALANDS LÄN</t>
        </is>
      </c>
      <c r="E12551" t="inlineStr">
        <is>
          <t>DALS-ED</t>
        </is>
      </c>
      <c r="G12551" t="n">
        <v>6.4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1440-2022</t>
        </is>
      </c>
      <c r="B12552" s="1" t="n">
        <v>44573</v>
      </c>
      <c r="C12552" s="1" t="n">
        <v>46011</v>
      </c>
      <c r="D12552" t="inlineStr">
        <is>
          <t>VÄSTRA GÖTALANDS LÄN</t>
        </is>
      </c>
      <c r="E12552" t="inlineStr">
        <is>
          <t>TANUM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15499-2022</t>
        </is>
      </c>
      <c r="B12553" s="1" t="n">
        <v>44662</v>
      </c>
      <c r="C12553" s="1" t="n">
        <v>46011</v>
      </c>
      <c r="D12553" t="inlineStr">
        <is>
          <t>VÄSTRA GÖTALANDS LÄN</t>
        </is>
      </c>
      <c r="E12553" t="inlineStr">
        <is>
          <t>ALE</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13883-2022</t>
        </is>
      </c>
      <c r="B12554" s="1" t="n">
        <v>44650</v>
      </c>
      <c r="C12554" s="1" t="n">
        <v>46011</v>
      </c>
      <c r="D12554" t="inlineStr">
        <is>
          <t>VÄSTRA GÖTALANDS LÄN</t>
        </is>
      </c>
      <c r="E12554" t="inlineStr">
        <is>
          <t>TROLLHÄTTAN</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61698-2021</t>
        </is>
      </c>
      <c r="B12555" s="1" t="n">
        <v>44501</v>
      </c>
      <c r="C12555" s="1" t="n">
        <v>46011</v>
      </c>
      <c r="D12555" t="inlineStr">
        <is>
          <t>VÄSTRA GÖTALANDS LÄN</t>
        </is>
      </c>
      <c r="E12555" t="inlineStr">
        <is>
          <t>FÄRGELANDA</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55246-2022</t>
        </is>
      </c>
      <c r="B12556" s="1" t="n">
        <v>44887.2725462963</v>
      </c>
      <c r="C12556" s="1" t="n">
        <v>46011</v>
      </c>
      <c r="D12556" t="inlineStr">
        <is>
          <t>VÄSTRA GÖTALANDS LÄN</t>
        </is>
      </c>
      <c r="E12556" t="inlineStr">
        <is>
          <t>SKARA</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40105-2021</t>
        </is>
      </c>
      <c r="B12557" s="1" t="n">
        <v>44418</v>
      </c>
      <c r="C12557" s="1" t="n">
        <v>46011</v>
      </c>
      <c r="D12557" t="inlineStr">
        <is>
          <t>VÄSTRA GÖTALANDS LÄN</t>
        </is>
      </c>
      <c r="E12557" t="inlineStr">
        <is>
          <t>SKÖVDE</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16169-2024</t>
        </is>
      </c>
      <c r="B12558" s="1" t="n">
        <v>45406.61987268519</v>
      </c>
      <c r="C12558" s="1" t="n">
        <v>46011</v>
      </c>
      <c r="D12558" t="inlineStr">
        <is>
          <t>VÄSTRA GÖTALANDS LÄN</t>
        </is>
      </c>
      <c r="E12558" t="inlineStr">
        <is>
          <t>VÅRGÅRDA</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42900-2021</t>
        </is>
      </c>
      <c r="B12559" s="1" t="n">
        <v>44428</v>
      </c>
      <c r="C12559" s="1" t="n">
        <v>46011</v>
      </c>
      <c r="D12559" t="inlineStr">
        <is>
          <t>VÄSTRA GÖTALANDS LÄN</t>
        </is>
      </c>
      <c r="E12559" t="inlineStr">
        <is>
          <t>FALKÖPING</t>
        </is>
      </c>
      <c r="G12559" t="n">
        <v>8.699999999999999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42341-2021</t>
        </is>
      </c>
      <c r="B12560" s="1" t="n">
        <v>44427</v>
      </c>
      <c r="C12560" s="1" t="n">
        <v>46011</v>
      </c>
      <c r="D12560" t="inlineStr">
        <is>
          <t>VÄSTRA GÖTALANDS LÄN</t>
        </is>
      </c>
      <c r="E12560" t="inlineStr">
        <is>
          <t>DALS-ED</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548-2022</t>
        </is>
      </c>
      <c r="B12561" s="1" t="n">
        <v>44566.64864583333</v>
      </c>
      <c r="C12561" s="1" t="n">
        <v>46011</v>
      </c>
      <c r="D12561" t="inlineStr">
        <is>
          <t>VÄSTRA GÖTALANDS LÄN</t>
        </is>
      </c>
      <c r="E12561" t="inlineStr">
        <is>
          <t>ULRICEHAMN</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48513-2021</t>
        </is>
      </c>
      <c r="B12562" s="1" t="n">
        <v>44449</v>
      </c>
      <c r="C12562" s="1" t="n">
        <v>46011</v>
      </c>
      <c r="D12562" t="inlineStr">
        <is>
          <t>VÄSTRA GÖTALANDS LÄN</t>
        </is>
      </c>
      <c r="E12562" t="inlineStr">
        <is>
          <t>BOLLEBYGD</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48595-2021</t>
        </is>
      </c>
      <c r="B12563" s="1" t="n">
        <v>44452.48140046297</v>
      </c>
      <c r="C12563" s="1" t="n">
        <v>46011</v>
      </c>
      <c r="D12563" t="inlineStr">
        <is>
          <t>VÄSTRA GÖTALANDS LÄN</t>
        </is>
      </c>
      <c r="E12563" t="inlineStr">
        <is>
          <t>VÅRGÅRDA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59177-2024</t>
        </is>
      </c>
      <c r="B12564" s="1" t="n">
        <v>45637.50666666667</v>
      </c>
      <c r="C12564" s="1" t="n">
        <v>46011</v>
      </c>
      <c r="D12564" t="inlineStr">
        <is>
          <t>VÄSTRA GÖTALANDS LÄN</t>
        </is>
      </c>
      <c r="E12564" t="inlineStr">
        <is>
          <t>MARK</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45503-2022</t>
        </is>
      </c>
      <c r="B12565" s="1" t="n">
        <v>44845.42538194444</v>
      </c>
      <c r="C12565" s="1" t="n">
        <v>46011</v>
      </c>
      <c r="D12565" t="inlineStr">
        <is>
          <t>VÄSTRA GÖTALANDS LÄN</t>
        </is>
      </c>
      <c r="E12565" t="inlineStr">
        <is>
          <t>BENGTSFORS</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39963-2021</t>
        </is>
      </c>
      <c r="B12566" s="1" t="n">
        <v>44418.31126157408</v>
      </c>
      <c r="C12566" s="1" t="n">
        <v>46011</v>
      </c>
      <c r="D12566" t="inlineStr">
        <is>
          <t>VÄSTRA GÖTALANDS LÄN</t>
        </is>
      </c>
      <c r="E12566" t="inlineStr">
        <is>
          <t>ALINGSÅS</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19492-2021</t>
        </is>
      </c>
      <c r="B12567" s="1" t="n">
        <v>44312</v>
      </c>
      <c r="C12567" s="1" t="n">
        <v>46011</v>
      </c>
      <c r="D12567" t="inlineStr">
        <is>
          <t>VÄSTRA GÖTALANDS LÄN</t>
        </is>
      </c>
      <c r="E12567" t="inlineStr">
        <is>
          <t>STRÖMSTAD</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3676-2022</t>
        </is>
      </c>
      <c r="B12568" s="1" t="n">
        <v>44586</v>
      </c>
      <c r="C12568" s="1" t="n">
        <v>46011</v>
      </c>
      <c r="D12568" t="inlineStr">
        <is>
          <t>VÄSTRA GÖTALANDS LÄN</t>
        </is>
      </c>
      <c r="E12568" t="inlineStr">
        <is>
          <t>MÖLNDAL</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5808-2023</t>
        </is>
      </c>
      <c r="B12569" s="1" t="n">
        <v>44963.48101851852</v>
      </c>
      <c r="C12569" s="1" t="n">
        <v>46011</v>
      </c>
      <c r="D12569" t="inlineStr">
        <is>
          <t>VÄSTRA GÖTALANDS LÄN</t>
        </is>
      </c>
      <c r="E12569" t="inlineStr">
        <is>
          <t>SKÖVDE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7612-2023</t>
        </is>
      </c>
      <c r="B12570" s="1" t="n">
        <v>44972.48915509259</v>
      </c>
      <c r="C12570" s="1" t="n">
        <v>46011</v>
      </c>
      <c r="D12570" t="inlineStr">
        <is>
          <t>VÄSTRA GÖTALANDS LÄN</t>
        </is>
      </c>
      <c r="E12570" t="inlineStr">
        <is>
          <t>MARIESTAD</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30061-2021</t>
        </is>
      </c>
      <c r="B12571" s="1" t="n">
        <v>44363</v>
      </c>
      <c r="C12571" s="1" t="n">
        <v>46011</v>
      </c>
      <c r="D12571" t="inlineStr">
        <is>
          <t>VÄSTRA GÖTALANDS LÄN</t>
        </is>
      </c>
      <c r="E12571" t="inlineStr">
        <is>
          <t>VÅRGÅRDA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16917-2025</t>
        </is>
      </c>
      <c r="B12572" s="1" t="n">
        <v>45755.36796296296</v>
      </c>
      <c r="C12572" s="1" t="n">
        <v>46011</v>
      </c>
      <c r="D12572" t="inlineStr">
        <is>
          <t>VÄSTRA GÖTALANDS LÄN</t>
        </is>
      </c>
      <c r="E12572" t="inlineStr">
        <is>
          <t>FÄRGELANDA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3026-2021</t>
        </is>
      </c>
      <c r="B12573" s="1" t="n">
        <v>44216</v>
      </c>
      <c r="C12573" s="1" t="n">
        <v>46011</v>
      </c>
      <c r="D12573" t="inlineStr">
        <is>
          <t>VÄSTRA GÖTALANDS LÄN</t>
        </is>
      </c>
      <c r="E12573" t="inlineStr">
        <is>
          <t>KUNGÄLV</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10749-2022</t>
        </is>
      </c>
      <c r="B12574" s="1" t="n">
        <v>44627.37660879629</v>
      </c>
      <c r="C12574" s="1" t="n">
        <v>46011</v>
      </c>
      <c r="D12574" t="inlineStr">
        <is>
          <t>VÄSTRA GÖTALANDS LÄN</t>
        </is>
      </c>
      <c r="E12574" t="inlineStr">
        <is>
          <t>DALS-ED</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60909-2023</t>
        </is>
      </c>
      <c r="B12575" s="1" t="n">
        <v>45261.38467592592</v>
      </c>
      <c r="C12575" s="1" t="n">
        <v>46011</v>
      </c>
      <c r="D12575" t="inlineStr">
        <is>
          <t>VÄSTRA GÖTALANDS LÄN</t>
        </is>
      </c>
      <c r="E12575" t="inlineStr">
        <is>
          <t>BENGTSFORS</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60911-2023</t>
        </is>
      </c>
      <c r="B12576" s="1" t="n">
        <v>45261.38917824074</v>
      </c>
      <c r="C12576" s="1" t="n">
        <v>46011</v>
      </c>
      <c r="D12576" t="inlineStr">
        <is>
          <t>VÄSTRA GÖTALANDS LÄN</t>
        </is>
      </c>
      <c r="E12576" t="inlineStr">
        <is>
          <t>TANUM</t>
        </is>
      </c>
      <c r="G12576" t="n">
        <v>11.3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1141-2023</t>
        </is>
      </c>
      <c r="B12577" s="1" t="n">
        <v>44935</v>
      </c>
      <c r="C12577" s="1" t="n">
        <v>46011</v>
      </c>
      <c r="D12577" t="inlineStr">
        <is>
          <t>VÄSTRA GÖTALANDS LÄN</t>
        </is>
      </c>
      <c r="E12577" t="inlineStr">
        <is>
          <t>VARA</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53401-2022</t>
        </is>
      </c>
      <c r="B12578" s="1" t="n">
        <v>44879.43978009259</v>
      </c>
      <c r="C12578" s="1" t="n">
        <v>46011</v>
      </c>
      <c r="D12578" t="inlineStr">
        <is>
          <t>VÄSTRA GÖTALANDS LÄN</t>
        </is>
      </c>
      <c r="E12578" t="inlineStr">
        <is>
          <t>TROLLHÄTTAN</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13655-2022</t>
        </is>
      </c>
      <c r="B12579" s="1" t="n">
        <v>44648.65728009259</v>
      </c>
      <c r="C12579" s="1" t="n">
        <v>46011</v>
      </c>
      <c r="D12579" t="inlineStr">
        <is>
          <t>VÄSTRA GÖTALANDS LÄN</t>
        </is>
      </c>
      <c r="E12579" t="inlineStr">
        <is>
          <t>BENGTSFORS</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49390-2022</t>
        </is>
      </c>
      <c r="B12580" s="1" t="n">
        <v>44861</v>
      </c>
      <c r="C12580" s="1" t="n">
        <v>46011</v>
      </c>
      <c r="D12580" t="inlineStr">
        <is>
          <t>VÄSTRA GÖTALANDS LÄN</t>
        </is>
      </c>
      <c r="E12580" t="inlineStr">
        <is>
          <t>FALKÖPING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49427-2022</t>
        </is>
      </c>
      <c r="B12581" s="1" t="n">
        <v>44861.65153935185</v>
      </c>
      <c r="C12581" s="1" t="n">
        <v>46011</v>
      </c>
      <c r="D12581" t="inlineStr">
        <is>
          <t>VÄSTRA GÖTALANDS LÄN</t>
        </is>
      </c>
      <c r="E12581" t="inlineStr">
        <is>
          <t>BENGTSFORS</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38615-2021</t>
        </is>
      </c>
      <c r="B12582" s="1" t="n">
        <v>44409.55400462963</v>
      </c>
      <c r="C12582" s="1" t="n">
        <v>46011</v>
      </c>
      <c r="D12582" t="inlineStr">
        <is>
          <t>VÄSTRA GÖTALANDS LÄN</t>
        </is>
      </c>
      <c r="E12582" t="inlineStr">
        <is>
          <t>SVENLJUNGA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37812-2021</t>
        </is>
      </c>
      <c r="B12583" s="1" t="n">
        <v>44402</v>
      </c>
      <c r="C12583" s="1" t="n">
        <v>46011</v>
      </c>
      <c r="D12583" t="inlineStr">
        <is>
          <t>VÄSTRA GÖTALANDS LÄN</t>
        </is>
      </c>
      <c r="E12583" t="inlineStr">
        <is>
          <t>ÅMÅL</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40611-2021</t>
        </is>
      </c>
      <c r="B12584" s="1" t="n">
        <v>44420.49086805555</v>
      </c>
      <c r="C12584" s="1" t="n">
        <v>46011</v>
      </c>
      <c r="D12584" t="inlineStr">
        <is>
          <t>VÄSTRA GÖTALANDS LÄN</t>
        </is>
      </c>
      <c r="E12584" t="inlineStr">
        <is>
          <t>BORÅS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21398-2023</t>
        </is>
      </c>
      <c r="B12585" s="1" t="n">
        <v>45063</v>
      </c>
      <c r="C12585" s="1" t="n">
        <v>46011</v>
      </c>
      <c r="D12585" t="inlineStr">
        <is>
          <t>VÄSTRA GÖTALANDS LÄN</t>
        </is>
      </c>
      <c r="E12585" t="inlineStr">
        <is>
          <t>HÄRRYDA</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13913-2023</t>
        </is>
      </c>
      <c r="B12586" s="1" t="n">
        <v>45007</v>
      </c>
      <c r="C12586" s="1" t="n">
        <v>46011</v>
      </c>
      <c r="D12586" t="inlineStr">
        <is>
          <t>VÄSTRA GÖTALANDS LÄN</t>
        </is>
      </c>
      <c r="E12586" t="inlineStr">
        <is>
          <t>BORÅS</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8403-2022</t>
        </is>
      </c>
      <c r="B12587" s="1" t="n">
        <v>44610.69429398148</v>
      </c>
      <c r="C12587" s="1" t="n">
        <v>46011</v>
      </c>
      <c r="D12587" t="inlineStr">
        <is>
          <t>VÄSTRA GÖTALANDS LÄN</t>
        </is>
      </c>
      <c r="E12587" t="inlineStr">
        <is>
          <t>MARK</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44087-2024</t>
        </is>
      </c>
      <c r="B12588" s="1" t="n">
        <v>45572.61899305556</v>
      </c>
      <c r="C12588" s="1" t="n">
        <v>46011</v>
      </c>
      <c r="D12588" t="inlineStr">
        <is>
          <t>VÄSTRA GÖTALANDS LÄN</t>
        </is>
      </c>
      <c r="E12588" t="inlineStr">
        <is>
          <t>BENGTSFORS</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7389-2022</t>
        </is>
      </c>
      <c r="B12589" s="1" t="n">
        <v>44606</v>
      </c>
      <c r="C12589" s="1" t="n">
        <v>46011</v>
      </c>
      <c r="D12589" t="inlineStr">
        <is>
          <t>VÄSTRA GÖTALANDS LÄN</t>
        </is>
      </c>
      <c r="E12589" t="inlineStr">
        <is>
          <t>MUNKEDAL</t>
        </is>
      </c>
      <c r="G12589" t="n">
        <v>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18126-2023</t>
        </is>
      </c>
      <c r="B12590" s="1" t="n">
        <v>45040.8387962963</v>
      </c>
      <c r="C12590" s="1" t="n">
        <v>46011</v>
      </c>
      <c r="D12590" t="inlineStr">
        <is>
          <t>VÄSTRA GÖTALANDS LÄN</t>
        </is>
      </c>
      <c r="E12590" t="inlineStr">
        <is>
          <t>FALKÖPING</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19608-2024</t>
        </is>
      </c>
      <c r="B12591" s="1" t="n">
        <v>45432.29416666667</v>
      </c>
      <c r="C12591" s="1" t="n">
        <v>46011</v>
      </c>
      <c r="D12591" t="inlineStr">
        <is>
          <t>VÄSTRA GÖTALANDS LÄN</t>
        </is>
      </c>
      <c r="E12591" t="inlineStr">
        <is>
          <t>MARK</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15181-2023</t>
        </is>
      </c>
      <c r="B12592" s="1" t="n">
        <v>45016</v>
      </c>
      <c r="C12592" s="1" t="n">
        <v>46011</v>
      </c>
      <c r="D12592" t="inlineStr">
        <is>
          <t>VÄSTRA GÖTALANDS LÄN</t>
        </is>
      </c>
      <c r="E12592" t="inlineStr">
        <is>
          <t>TROLLHÄTTAN</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15194-2023</t>
        </is>
      </c>
      <c r="B12593" s="1" t="n">
        <v>45016.74270833333</v>
      </c>
      <c r="C12593" s="1" t="n">
        <v>46011</v>
      </c>
      <c r="D12593" t="inlineStr">
        <is>
          <t>VÄSTRA GÖTALANDS LÄN</t>
        </is>
      </c>
      <c r="E12593" t="inlineStr">
        <is>
          <t>TIDAHOLM</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14038-2023</t>
        </is>
      </c>
      <c r="B12594" s="1" t="n">
        <v>45008</v>
      </c>
      <c r="C12594" s="1" t="n">
        <v>46011</v>
      </c>
      <c r="D12594" t="inlineStr">
        <is>
          <t>VÄSTRA GÖTALANDS LÄN</t>
        </is>
      </c>
      <c r="E12594" t="inlineStr">
        <is>
          <t>ULRICEHAMN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13867-2024</t>
        </is>
      </c>
      <c r="B12595" s="1" t="n">
        <v>45391.56081018518</v>
      </c>
      <c r="C12595" s="1" t="n">
        <v>46011</v>
      </c>
      <c r="D12595" t="inlineStr">
        <is>
          <t>VÄSTRA GÖTALANDS LÄN</t>
        </is>
      </c>
      <c r="E12595" t="inlineStr">
        <is>
          <t>TRANEMO</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15396-2024</t>
        </is>
      </c>
      <c r="B12596" s="1" t="n">
        <v>45401</v>
      </c>
      <c r="C12596" s="1" t="n">
        <v>46011</v>
      </c>
      <c r="D12596" t="inlineStr">
        <is>
          <t>VÄSTRA GÖTALANDS LÄN</t>
        </is>
      </c>
      <c r="E12596" t="inlineStr">
        <is>
          <t>KARLSBORG</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56355-2022</t>
        </is>
      </c>
      <c r="B12597" s="1" t="n">
        <v>44890.66738425926</v>
      </c>
      <c r="C12597" s="1" t="n">
        <v>46011</v>
      </c>
      <c r="D12597" t="inlineStr">
        <is>
          <t>VÄSTRA GÖTALANDS LÄN</t>
        </is>
      </c>
      <c r="E12597" t="inlineStr">
        <is>
          <t>HERRLJUNGA</t>
        </is>
      </c>
      <c r="G12597" t="n">
        <v>7.8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68488-2020</t>
        </is>
      </c>
      <c r="B12598" s="1" t="n">
        <v>44186</v>
      </c>
      <c r="C12598" s="1" t="n">
        <v>46011</v>
      </c>
      <c r="D12598" t="inlineStr">
        <is>
          <t>VÄSTRA GÖTALANDS LÄN</t>
        </is>
      </c>
      <c r="E12598" t="inlineStr">
        <is>
          <t>TROLLHÄTTAN</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30133-2024</t>
        </is>
      </c>
      <c r="B12599" s="1" t="n">
        <v>45489.55241898148</v>
      </c>
      <c r="C12599" s="1" t="n">
        <v>46011</v>
      </c>
      <c r="D12599" t="inlineStr">
        <is>
          <t>VÄSTRA GÖTALANDS LÄN</t>
        </is>
      </c>
      <c r="E12599" t="inlineStr">
        <is>
          <t>MUNKEDAL</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30136-2024</t>
        </is>
      </c>
      <c r="B12600" s="1" t="n">
        <v>45489.56859953704</v>
      </c>
      <c r="C12600" s="1" t="n">
        <v>46011</v>
      </c>
      <c r="D12600" t="inlineStr">
        <is>
          <t>VÄSTRA GÖTALANDS LÄN</t>
        </is>
      </c>
      <c r="E12600" t="inlineStr">
        <is>
          <t>KARLSBORG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24163-2024</t>
        </is>
      </c>
      <c r="B12601" s="1" t="n">
        <v>45441</v>
      </c>
      <c r="C12601" s="1" t="n">
        <v>46011</v>
      </c>
      <c r="D12601" t="inlineStr">
        <is>
          <t>VÄSTRA GÖTALANDS LÄN</t>
        </is>
      </c>
      <c r="E12601" t="inlineStr">
        <is>
          <t>LERUM</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1152-2023</t>
        </is>
      </c>
      <c r="B12602" s="1" t="n">
        <v>44935.64951388889</v>
      </c>
      <c r="C12602" s="1" t="n">
        <v>46011</v>
      </c>
      <c r="D12602" t="inlineStr">
        <is>
          <t>VÄSTRA GÖTALANDS LÄN</t>
        </is>
      </c>
      <c r="E12602" t="inlineStr">
        <is>
          <t>VARA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59877-2021</t>
        </is>
      </c>
      <c r="B12603" s="1" t="n">
        <v>44494</v>
      </c>
      <c r="C12603" s="1" t="n">
        <v>46011</v>
      </c>
      <c r="D12603" t="inlineStr">
        <is>
          <t>VÄSTRA GÖTALANDS LÄN</t>
        </is>
      </c>
      <c r="E12603" t="inlineStr">
        <is>
          <t>KARLSBORG</t>
        </is>
      </c>
      <c r="F12603" t="inlineStr">
        <is>
          <t>Övriga statliga verk och myndigheter</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16803-2023</t>
        </is>
      </c>
      <c r="B12604" s="1" t="n">
        <v>45033.35427083333</v>
      </c>
      <c r="C12604" s="1" t="n">
        <v>46011</v>
      </c>
      <c r="D12604" t="inlineStr">
        <is>
          <t>VÄSTRA GÖTALANDS LÄN</t>
        </is>
      </c>
      <c r="E12604" t="inlineStr">
        <is>
          <t>FALKÖPING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43594-2023</t>
        </is>
      </c>
      <c r="B12605" s="1" t="n">
        <v>45184</v>
      </c>
      <c r="C12605" s="1" t="n">
        <v>46011</v>
      </c>
      <c r="D12605" t="inlineStr">
        <is>
          <t>VÄSTRA GÖTALANDS LÄN</t>
        </is>
      </c>
      <c r="E12605" t="inlineStr">
        <is>
          <t>TANUM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9246-2021</t>
        </is>
      </c>
      <c r="B12606" s="1" t="n">
        <v>44250</v>
      </c>
      <c r="C12606" s="1" t="n">
        <v>46011</v>
      </c>
      <c r="D12606" t="inlineStr">
        <is>
          <t>VÄSTRA GÖTALANDS LÄN</t>
        </is>
      </c>
      <c r="E12606" t="inlineStr">
        <is>
          <t>SVENLJUNGA</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6224-2022</t>
        </is>
      </c>
      <c r="B12607" s="1" t="n">
        <v>44600.39609953704</v>
      </c>
      <c r="C12607" s="1" t="n">
        <v>46011</v>
      </c>
      <c r="D12607" t="inlineStr">
        <is>
          <t>VÄSTRA GÖTALANDS LÄN</t>
        </is>
      </c>
      <c r="E12607" t="inlineStr">
        <is>
          <t>SKÖVDE</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28327-2023</t>
        </is>
      </c>
      <c r="B12608" s="1" t="n">
        <v>45099.70915509259</v>
      </c>
      <c r="C12608" s="1" t="n">
        <v>46011</v>
      </c>
      <c r="D12608" t="inlineStr">
        <is>
          <t>VÄSTRA GÖTALANDS LÄN</t>
        </is>
      </c>
      <c r="E12608" t="inlineStr">
        <is>
          <t>TIDAHOLM</t>
        </is>
      </c>
      <c r="F12608" t="inlineStr">
        <is>
          <t>Kyrkan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51534-2023</t>
        </is>
      </c>
      <c r="B12609" s="1" t="n">
        <v>45222.40712962963</v>
      </c>
      <c r="C12609" s="1" t="n">
        <v>46011</v>
      </c>
      <c r="D12609" t="inlineStr">
        <is>
          <t>VÄSTRA GÖTALANDS LÄN</t>
        </is>
      </c>
      <c r="E12609" t="inlineStr">
        <is>
          <t>GRÄSTORP</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36868-2022</t>
        </is>
      </c>
      <c r="B12610" s="1" t="n">
        <v>44805.6289699074</v>
      </c>
      <c r="C12610" s="1" t="n">
        <v>46011</v>
      </c>
      <c r="D12610" t="inlineStr">
        <is>
          <t>VÄSTRA GÖTALANDS LÄN</t>
        </is>
      </c>
      <c r="E12610" t="inlineStr">
        <is>
          <t>TIBRO</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50858-2022</t>
        </is>
      </c>
      <c r="B12611" s="1" t="n">
        <v>44867</v>
      </c>
      <c r="C12611" s="1" t="n">
        <v>46011</v>
      </c>
      <c r="D12611" t="inlineStr">
        <is>
          <t>VÄSTRA GÖTALANDS LÄN</t>
        </is>
      </c>
      <c r="E12611" t="inlineStr">
        <is>
          <t>TRANEMO</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6043-2021</t>
        </is>
      </c>
      <c r="B12612" s="1" t="n">
        <v>44232</v>
      </c>
      <c r="C12612" s="1" t="n">
        <v>46011</v>
      </c>
      <c r="D12612" t="inlineStr">
        <is>
          <t>VÄSTRA GÖTALANDS LÄN</t>
        </is>
      </c>
      <c r="E12612" t="inlineStr">
        <is>
          <t>TANUM</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6056-2021</t>
        </is>
      </c>
      <c r="B12613" s="1" t="n">
        <v>44231</v>
      </c>
      <c r="C12613" s="1" t="n">
        <v>46011</v>
      </c>
      <c r="D12613" t="inlineStr">
        <is>
          <t>VÄSTRA GÖTALANDS LÄN</t>
        </is>
      </c>
      <c r="E12613" t="inlineStr">
        <is>
          <t>VÄNERSBORG</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11751-2024</t>
        </is>
      </c>
      <c r="B12614" s="1" t="n">
        <v>45373</v>
      </c>
      <c r="C12614" s="1" t="n">
        <v>46011</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17964-2022</t>
        </is>
      </c>
      <c r="B12615" s="1" t="n">
        <v>44683.68414351852</v>
      </c>
      <c r="C12615" s="1" t="n">
        <v>46011</v>
      </c>
      <c r="D12615" t="inlineStr">
        <is>
          <t>VÄSTRA GÖTALANDS LÄN</t>
        </is>
      </c>
      <c r="E12615" t="inlineStr">
        <is>
          <t>UDDEVALLA</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12727-2024</t>
        </is>
      </c>
      <c r="B12616" s="1" t="n">
        <v>45384.48908564815</v>
      </c>
      <c r="C12616" s="1" t="n">
        <v>46011</v>
      </c>
      <c r="D12616" t="inlineStr">
        <is>
          <t>VÄSTRA GÖTALANDS LÄN</t>
        </is>
      </c>
      <c r="E12616" t="inlineStr">
        <is>
          <t>ULRICEHAMN</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27989-2022</t>
        </is>
      </c>
      <c r="B12617" s="1" t="n">
        <v>44745</v>
      </c>
      <c r="C12617" s="1" t="n">
        <v>46011</v>
      </c>
      <c r="D12617" t="inlineStr">
        <is>
          <t>VÄSTRA GÖTALANDS LÄN</t>
        </is>
      </c>
      <c r="E12617" t="inlineStr">
        <is>
          <t>HJO</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12765-2024</t>
        </is>
      </c>
      <c r="B12618" s="1" t="n">
        <v>45384.58055555556</v>
      </c>
      <c r="C12618" s="1" t="n">
        <v>46011</v>
      </c>
      <c r="D12618" t="inlineStr">
        <is>
          <t>VÄSTRA GÖTALANDS LÄN</t>
        </is>
      </c>
      <c r="E12618" t="inlineStr">
        <is>
          <t>FALKÖPING</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30585-2022</t>
        </is>
      </c>
      <c r="B12619" s="1" t="n">
        <v>44762</v>
      </c>
      <c r="C12619" s="1" t="n">
        <v>46011</v>
      </c>
      <c r="D12619" t="inlineStr">
        <is>
          <t>VÄSTRA GÖTALANDS LÄN</t>
        </is>
      </c>
      <c r="E12619" t="inlineStr">
        <is>
          <t>ULRICEHAMN</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19615-2024</t>
        </is>
      </c>
      <c r="B12620" s="1" t="n">
        <v>45432.31332175926</v>
      </c>
      <c r="C12620" s="1" t="n">
        <v>46011</v>
      </c>
      <c r="D12620" t="inlineStr">
        <is>
          <t>VÄSTRA GÖTALANDS LÄN</t>
        </is>
      </c>
      <c r="E12620" t="inlineStr">
        <is>
          <t>SVENLJUNGA</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48276-2022</t>
        </is>
      </c>
      <c r="B12621" s="1" t="n">
        <v>44858</v>
      </c>
      <c r="C12621" s="1" t="n">
        <v>46011</v>
      </c>
      <c r="D12621" t="inlineStr">
        <is>
          <t>VÄSTRA GÖTALANDS LÄN</t>
        </is>
      </c>
      <c r="E12621" t="inlineStr">
        <is>
          <t>ÅMÅL</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23044-2022</t>
        </is>
      </c>
      <c r="B12622" s="1" t="n">
        <v>44719.42737268518</v>
      </c>
      <c r="C12622" s="1" t="n">
        <v>46011</v>
      </c>
      <c r="D12622" t="inlineStr">
        <is>
          <t>VÄSTRA GÖTALANDS LÄN</t>
        </is>
      </c>
      <c r="E12622" t="inlineStr">
        <is>
          <t>TIDAHOLM</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50454-2021</t>
        </is>
      </c>
      <c r="B12623" s="1" t="n">
        <v>44459.52819444444</v>
      </c>
      <c r="C12623" s="1" t="n">
        <v>46011</v>
      </c>
      <c r="D12623" t="inlineStr">
        <is>
          <t>VÄSTRA GÖTALANDS LÄN</t>
        </is>
      </c>
      <c r="E12623" t="inlineStr">
        <is>
          <t>FÄRGELANDA</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50521-2021</t>
        </is>
      </c>
      <c r="B12624" s="1" t="n">
        <v>44455</v>
      </c>
      <c r="C12624" s="1" t="n">
        <v>46011</v>
      </c>
      <c r="D12624" t="inlineStr">
        <is>
          <t>VÄSTRA GÖTALANDS LÄN</t>
        </is>
      </c>
      <c r="E12624" t="inlineStr">
        <is>
          <t>ULRICEHAMN</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58620-2022</t>
        </is>
      </c>
      <c r="B12625" s="1" t="n">
        <v>44902.59869212963</v>
      </c>
      <c r="C12625" s="1" t="n">
        <v>46011</v>
      </c>
      <c r="D12625" t="inlineStr">
        <is>
          <t>VÄSTRA GÖTALANDS LÄN</t>
        </is>
      </c>
      <c r="E12625" t="inlineStr">
        <is>
          <t>LIDKÖPING</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6898-2023</t>
        </is>
      </c>
      <c r="B12626" s="1" t="n">
        <v>44967</v>
      </c>
      <c r="C12626" s="1" t="n">
        <v>46011</v>
      </c>
      <c r="D12626" t="inlineStr">
        <is>
          <t>VÄSTRA GÖTALANDS LÄN</t>
        </is>
      </c>
      <c r="E12626" t="inlineStr">
        <is>
          <t>LIDKÖPING</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17160-2024</t>
        </is>
      </c>
      <c r="B12627" s="1" t="n">
        <v>45412.71053240741</v>
      </c>
      <c r="C12627" s="1" t="n">
        <v>46011</v>
      </c>
      <c r="D12627" t="inlineStr">
        <is>
          <t>VÄSTRA GÖTALANDS LÄN</t>
        </is>
      </c>
      <c r="E12627" t="inlineStr">
        <is>
          <t>MELLERUD</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43241-2024</t>
        </is>
      </c>
      <c r="B12628" s="1" t="n">
        <v>45568.25478009259</v>
      </c>
      <c r="C12628" s="1" t="n">
        <v>46011</v>
      </c>
      <c r="D12628" t="inlineStr">
        <is>
          <t>VÄSTRA GÖTALANDS LÄN</t>
        </is>
      </c>
      <c r="E12628" t="inlineStr">
        <is>
          <t>ULRICEHAMN</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43315-2024</t>
        </is>
      </c>
      <c r="B12629" s="1" t="n">
        <v>45568.45821759259</v>
      </c>
      <c r="C12629" s="1" t="n">
        <v>46011</v>
      </c>
      <c r="D12629" t="inlineStr">
        <is>
          <t>VÄSTRA GÖTALANDS LÄN</t>
        </is>
      </c>
      <c r="E12629" t="inlineStr">
        <is>
          <t>TRANEMO</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24914-2021</t>
        </is>
      </c>
      <c r="B12630" s="1" t="n">
        <v>44341.39423611111</v>
      </c>
      <c r="C12630" s="1" t="n">
        <v>46011</v>
      </c>
      <c r="D12630" t="inlineStr">
        <is>
          <t>VÄSTRA GÖTALANDS LÄN</t>
        </is>
      </c>
      <c r="E12630" t="inlineStr">
        <is>
          <t>BENGTSFORS</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42898-2024</t>
        </is>
      </c>
      <c r="B12631" s="1" t="n">
        <v>45566.85488425926</v>
      </c>
      <c r="C12631" s="1" t="n">
        <v>46011</v>
      </c>
      <c r="D12631" t="inlineStr">
        <is>
          <t>VÄSTRA GÖTALANDS LÄN</t>
        </is>
      </c>
      <c r="E12631" t="inlineStr">
        <is>
          <t>SVENLJUNGA</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42899-2024</t>
        </is>
      </c>
      <c r="B12632" s="1" t="n">
        <v>45566.85929398148</v>
      </c>
      <c r="C12632" s="1" t="n">
        <v>46011</v>
      </c>
      <c r="D12632" t="inlineStr">
        <is>
          <t>VÄSTRA GÖTALANDS LÄN</t>
        </is>
      </c>
      <c r="E12632" t="inlineStr">
        <is>
          <t>SVENLJUNGA</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61698-2023</t>
        </is>
      </c>
      <c r="B12633" s="1" t="n">
        <v>45265.65109953703</v>
      </c>
      <c r="C12633" s="1" t="n">
        <v>46011</v>
      </c>
      <c r="D12633" t="inlineStr">
        <is>
          <t>VÄSTRA GÖTALANDS LÄN</t>
        </is>
      </c>
      <c r="E12633" t="inlineStr">
        <is>
          <t>HERRLJUNGA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19545-2024</t>
        </is>
      </c>
      <c r="B12634" s="1" t="n">
        <v>45429</v>
      </c>
      <c r="C12634" s="1" t="n">
        <v>46011</v>
      </c>
      <c r="D12634" t="inlineStr">
        <is>
          <t>VÄSTRA GÖTALANDS LÄN</t>
        </is>
      </c>
      <c r="E12634" t="inlineStr">
        <is>
          <t>MELLERUD</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63239-2021</t>
        </is>
      </c>
      <c r="B12635" s="1" t="n">
        <v>44508.36662037037</v>
      </c>
      <c r="C12635" s="1" t="n">
        <v>46011</v>
      </c>
      <c r="D12635" t="inlineStr">
        <is>
          <t>VÄSTRA GÖTALANDS LÄN</t>
        </is>
      </c>
      <c r="E12635" t="inlineStr">
        <is>
          <t>HJO</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62765-2023</t>
        </is>
      </c>
      <c r="B12636" s="1" t="n">
        <v>45268</v>
      </c>
      <c r="C12636" s="1" t="n">
        <v>46011</v>
      </c>
      <c r="D12636" t="inlineStr">
        <is>
          <t>VÄSTRA GÖTALANDS LÄN</t>
        </is>
      </c>
      <c r="E12636" t="inlineStr">
        <is>
          <t>MARIESTAD</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62782-2023</t>
        </is>
      </c>
      <c r="B12637" s="1" t="n">
        <v>45268</v>
      </c>
      <c r="C12637" s="1" t="n">
        <v>46011</v>
      </c>
      <c r="D12637" t="inlineStr">
        <is>
          <t>VÄSTRA GÖTALANDS LÄN</t>
        </is>
      </c>
      <c r="E12637" t="inlineStr">
        <is>
          <t>TÖREBODA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4025-2023</t>
        </is>
      </c>
      <c r="B12638" s="1" t="n">
        <v>44952</v>
      </c>
      <c r="C12638" s="1" t="n">
        <v>46011</v>
      </c>
      <c r="D12638" t="inlineStr">
        <is>
          <t>VÄSTRA GÖTALANDS LÄN</t>
        </is>
      </c>
      <c r="E12638" t="inlineStr">
        <is>
          <t>DALS-ED</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20564-2024</t>
        </is>
      </c>
      <c r="B12639" s="1" t="n">
        <v>45436</v>
      </c>
      <c r="C12639" s="1" t="n">
        <v>46011</v>
      </c>
      <c r="D12639" t="inlineStr">
        <is>
          <t>VÄSTRA GÖTALANDS LÄN</t>
        </is>
      </c>
      <c r="E12639" t="inlineStr">
        <is>
          <t>KARLSBORG</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41799-2024</t>
        </is>
      </c>
      <c r="B12640" s="1" t="n">
        <v>45561.36438657407</v>
      </c>
      <c r="C12640" s="1" t="n">
        <v>46011</v>
      </c>
      <c r="D12640" t="inlineStr">
        <is>
          <t>VÄSTRA GÖTALANDS LÄN</t>
        </is>
      </c>
      <c r="E12640" t="inlineStr">
        <is>
          <t>DALS-ED</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59223-2022</t>
        </is>
      </c>
      <c r="B12641" s="1" t="n">
        <v>44899</v>
      </c>
      <c r="C12641" s="1" t="n">
        <v>46011</v>
      </c>
      <c r="D12641" t="inlineStr">
        <is>
          <t>VÄSTRA GÖTALANDS LÄN</t>
        </is>
      </c>
      <c r="E12641" t="inlineStr">
        <is>
          <t>LYSEKIL</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17306-2022</t>
        </is>
      </c>
      <c r="B12642" s="1" t="n">
        <v>44678</v>
      </c>
      <c r="C12642" s="1" t="n">
        <v>46011</v>
      </c>
      <c r="D12642" t="inlineStr">
        <is>
          <t>VÄSTRA GÖTALANDS LÄN</t>
        </is>
      </c>
      <c r="E12642" t="inlineStr">
        <is>
          <t>ULRICEHAMN</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3413-2023</t>
        </is>
      </c>
      <c r="B12643" s="1" t="n">
        <v>44949</v>
      </c>
      <c r="C12643" s="1" t="n">
        <v>46011</v>
      </c>
      <c r="D12643" t="inlineStr">
        <is>
          <t>VÄSTRA GÖTALANDS LÄN</t>
        </is>
      </c>
      <c r="E12643" t="inlineStr">
        <is>
          <t>ALE</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37099-2023</t>
        </is>
      </c>
      <c r="B12644" s="1" t="n">
        <v>45155</v>
      </c>
      <c r="C12644" s="1" t="n">
        <v>46011</v>
      </c>
      <c r="D12644" t="inlineStr">
        <is>
          <t>VÄSTRA GÖTALANDS LÄN</t>
        </is>
      </c>
      <c r="E12644" t="inlineStr">
        <is>
          <t>TANUM</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37102-2023</t>
        </is>
      </c>
      <c r="B12645" s="1" t="n">
        <v>45155.54638888889</v>
      </c>
      <c r="C12645" s="1" t="n">
        <v>46011</v>
      </c>
      <c r="D12645" t="inlineStr">
        <is>
          <t>VÄSTRA GÖTALANDS LÄN</t>
        </is>
      </c>
      <c r="E12645" t="inlineStr">
        <is>
          <t>HERRLJUNGA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8771-2023</t>
        </is>
      </c>
      <c r="B12646" s="1" t="n">
        <v>44973</v>
      </c>
      <c r="C12646" s="1" t="n">
        <v>46011</v>
      </c>
      <c r="D12646" t="inlineStr">
        <is>
          <t>VÄSTRA GÖTALANDS LÄN</t>
        </is>
      </c>
      <c r="E12646" t="inlineStr">
        <is>
          <t>MARIESTAD</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7134-2022</t>
        </is>
      </c>
      <c r="B12647" s="1" t="n">
        <v>44603.69533564815</v>
      </c>
      <c r="C12647" s="1" t="n">
        <v>46011</v>
      </c>
      <c r="D12647" t="inlineStr">
        <is>
          <t>VÄSTRA GÖTALANDS LÄN</t>
        </is>
      </c>
      <c r="E12647" t="inlineStr">
        <is>
          <t>MARK</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7182-2022</t>
        </is>
      </c>
      <c r="B12648" s="1" t="n">
        <v>44605.61115740741</v>
      </c>
      <c r="C12648" s="1" t="n">
        <v>46011</v>
      </c>
      <c r="D12648" t="inlineStr">
        <is>
          <t>VÄSTRA GÖTALANDS LÄN</t>
        </is>
      </c>
      <c r="E12648" t="inlineStr">
        <is>
          <t>HERRLJUNGA</t>
        </is>
      </c>
      <c r="G12648" t="n">
        <v>8.699999999999999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8792-2023</t>
        </is>
      </c>
      <c r="B12649" s="1" t="n">
        <v>44978.59072916667</v>
      </c>
      <c r="C12649" s="1" t="n">
        <v>46011</v>
      </c>
      <c r="D12649" t="inlineStr">
        <is>
          <t>VÄSTRA GÖTALANDS LÄN</t>
        </is>
      </c>
      <c r="E12649" t="inlineStr">
        <is>
          <t>GULLSPÅNG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62269-2023</t>
        </is>
      </c>
      <c r="B12650" s="1" t="n">
        <v>45267.63450231482</v>
      </c>
      <c r="C12650" s="1" t="n">
        <v>46011</v>
      </c>
      <c r="D12650" t="inlineStr">
        <is>
          <t>VÄSTRA GÖTALANDS LÄN</t>
        </is>
      </c>
      <c r="E12650" t="inlineStr">
        <is>
          <t>SKÖVDE</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62090-2023</t>
        </is>
      </c>
      <c r="B12651" s="1" t="n">
        <v>45266.8790625</v>
      </c>
      <c r="C12651" s="1" t="n">
        <v>46011</v>
      </c>
      <c r="D12651" t="inlineStr">
        <is>
          <t>VÄSTRA GÖTALANDS LÄN</t>
        </is>
      </c>
      <c r="E12651" t="inlineStr">
        <is>
          <t>MUNKEDAL</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1731-2021</t>
        </is>
      </c>
      <c r="B12652" s="1" t="n">
        <v>44209</v>
      </c>
      <c r="C12652" s="1" t="n">
        <v>46011</v>
      </c>
      <c r="D12652" t="inlineStr">
        <is>
          <t>VÄSTRA GÖTALANDS LÄN</t>
        </is>
      </c>
      <c r="E12652" t="inlineStr">
        <is>
          <t>TIDAHOLM</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13334-2022</t>
        </is>
      </c>
      <c r="B12653" s="1" t="n">
        <v>44645.37586805555</v>
      </c>
      <c r="C12653" s="1" t="n">
        <v>46011</v>
      </c>
      <c r="D12653" t="inlineStr">
        <is>
          <t>VÄSTRA GÖTALANDS LÄN</t>
        </is>
      </c>
      <c r="E12653" t="inlineStr">
        <is>
          <t>VÄNERSBORG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69264-2020</t>
        </is>
      </c>
      <c r="B12654" s="1" t="n">
        <v>44193.32032407408</v>
      </c>
      <c r="C12654" s="1" t="n">
        <v>46011</v>
      </c>
      <c r="D12654" t="inlineStr">
        <is>
          <t>VÄSTRA GÖTALANDS LÄN</t>
        </is>
      </c>
      <c r="E12654" t="inlineStr">
        <is>
          <t>BORÅS</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9017-2022</t>
        </is>
      </c>
      <c r="B12655" s="1" t="n">
        <v>44615.37796296296</v>
      </c>
      <c r="C12655" s="1" t="n">
        <v>46011</v>
      </c>
      <c r="D12655" t="inlineStr">
        <is>
          <t>VÄSTRA GÖTALANDS LÄN</t>
        </is>
      </c>
      <c r="E12655" t="inlineStr">
        <is>
          <t>MARK</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26940-2023</t>
        </is>
      </c>
      <c r="B12656" s="1" t="n">
        <v>45093.62900462963</v>
      </c>
      <c r="C12656" s="1" t="n">
        <v>46011</v>
      </c>
      <c r="D12656" t="inlineStr">
        <is>
          <t>VÄSTRA GÖTALANDS LÄN</t>
        </is>
      </c>
      <c r="E12656" t="inlineStr">
        <is>
          <t>UDDEVALLA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52128-2021</t>
        </is>
      </c>
      <c r="B12657" s="1" t="n">
        <v>44463</v>
      </c>
      <c r="C12657" s="1" t="n">
        <v>46011</v>
      </c>
      <c r="D12657" t="inlineStr">
        <is>
          <t>VÄSTRA GÖTALANDS LÄN</t>
        </is>
      </c>
      <c r="E12657" t="inlineStr">
        <is>
          <t>MELLERUD</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19820-2021</t>
        </is>
      </c>
      <c r="B12658" s="1" t="n">
        <v>44312</v>
      </c>
      <c r="C12658" s="1" t="n">
        <v>46011</v>
      </c>
      <c r="D12658" t="inlineStr">
        <is>
          <t>VÄSTRA GÖTALANDS LÄN</t>
        </is>
      </c>
      <c r="E12658" t="inlineStr">
        <is>
          <t>TROLLHÄTTAN</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50043-2023</t>
        </is>
      </c>
      <c r="B12659" s="1" t="n">
        <v>45215.49396990741</v>
      </c>
      <c r="C12659" s="1" t="n">
        <v>46011</v>
      </c>
      <c r="D12659" t="inlineStr">
        <is>
          <t>VÄSTRA GÖTALANDS LÄN</t>
        </is>
      </c>
      <c r="E12659" t="inlineStr">
        <is>
          <t>SKARA</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52554-2022</t>
        </is>
      </c>
      <c r="B12660" s="1" t="n">
        <v>44874.59923611111</v>
      </c>
      <c r="C12660" s="1" t="n">
        <v>46011</v>
      </c>
      <c r="D12660" t="inlineStr">
        <is>
          <t>VÄSTRA GÖTALANDS LÄN</t>
        </is>
      </c>
      <c r="E12660" t="inlineStr">
        <is>
          <t>BENGTSFORS</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27314-2021</t>
        </is>
      </c>
      <c r="B12661" s="1" t="n">
        <v>44351.36537037037</v>
      </c>
      <c r="C12661" s="1" t="n">
        <v>46011</v>
      </c>
      <c r="D12661" t="inlineStr">
        <is>
          <t>VÄSTRA GÖTALANDS LÄN</t>
        </is>
      </c>
      <c r="E12661" t="inlineStr">
        <is>
          <t>ALE</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46917-2022</t>
        </is>
      </c>
      <c r="B12662" s="1" t="n">
        <v>44851.67258101852</v>
      </c>
      <c r="C12662" s="1" t="n">
        <v>46011</v>
      </c>
      <c r="D12662" t="inlineStr">
        <is>
          <t>VÄSTRA GÖTALANDS LÄN</t>
        </is>
      </c>
      <c r="E12662" t="inlineStr">
        <is>
          <t>MELLERUD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39150-2022</t>
        </is>
      </c>
      <c r="B12663" s="1" t="n">
        <v>44817.48424768518</v>
      </c>
      <c r="C12663" s="1" t="n">
        <v>46011</v>
      </c>
      <c r="D12663" t="inlineStr">
        <is>
          <t>VÄSTRA GÖTALANDS LÄN</t>
        </is>
      </c>
      <c r="E12663" t="inlineStr">
        <is>
          <t>GÖTENE</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60252-2023</t>
        </is>
      </c>
      <c r="B12664" s="1" t="n">
        <v>45258.65349537037</v>
      </c>
      <c r="C12664" s="1" t="n">
        <v>46011</v>
      </c>
      <c r="D12664" t="inlineStr">
        <is>
          <t>VÄSTRA GÖTALANDS LÄN</t>
        </is>
      </c>
      <c r="E12664" t="inlineStr">
        <is>
          <t>TIDAHOLM</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48758-2022</t>
        </is>
      </c>
      <c r="B12665" s="1" t="n">
        <v>44859.58251157407</v>
      </c>
      <c r="C12665" s="1" t="n">
        <v>46011</v>
      </c>
      <c r="D12665" t="inlineStr">
        <is>
          <t>VÄSTRA GÖTALANDS LÄN</t>
        </is>
      </c>
      <c r="E12665" t="inlineStr">
        <is>
          <t>SVENLJUNGA</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53950-2023</t>
        </is>
      </c>
      <c r="B12666" s="1" t="n">
        <v>45231</v>
      </c>
      <c r="C12666" s="1" t="n">
        <v>46011</v>
      </c>
      <c r="D12666" t="inlineStr">
        <is>
          <t>VÄSTRA GÖTALANDS LÄN</t>
        </is>
      </c>
      <c r="E12666" t="inlineStr">
        <is>
          <t>HERRLJUNGA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4617-2022</t>
        </is>
      </c>
      <c r="B12667" s="1" t="n">
        <v>44592</v>
      </c>
      <c r="C12667" s="1" t="n">
        <v>46011</v>
      </c>
      <c r="D12667" t="inlineStr">
        <is>
          <t>VÄSTRA GÖTALANDS LÄN</t>
        </is>
      </c>
      <c r="E12667" t="inlineStr">
        <is>
          <t>BORÅS</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61361-2022</t>
        </is>
      </c>
      <c r="B12668" s="1" t="n">
        <v>44915.77621527778</v>
      </c>
      <c r="C12668" s="1" t="n">
        <v>46011</v>
      </c>
      <c r="D12668" t="inlineStr">
        <is>
          <t>VÄSTRA GÖTALANDS LÄN</t>
        </is>
      </c>
      <c r="E12668" t="inlineStr">
        <is>
          <t>TIDAHOLM</t>
        </is>
      </c>
      <c r="F12668" t="inlineStr">
        <is>
          <t>Sveaskog</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61443-2022</t>
        </is>
      </c>
      <c r="B12669" s="1" t="n">
        <v>44909</v>
      </c>
      <c r="C12669" s="1" t="n">
        <v>46011</v>
      </c>
      <c r="D12669" t="inlineStr">
        <is>
          <t>VÄSTRA GÖTALANDS LÄN</t>
        </is>
      </c>
      <c r="E12669" t="inlineStr">
        <is>
          <t>TROLLHÄTTAN</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47944-2024</t>
        </is>
      </c>
      <c r="B12670" s="1" t="n">
        <v>45589.35490740741</v>
      </c>
      <c r="C12670" s="1" t="n">
        <v>46011</v>
      </c>
      <c r="D12670" t="inlineStr">
        <is>
          <t>VÄSTRA GÖTALANDS LÄN</t>
        </is>
      </c>
      <c r="E12670" t="inlineStr">
        <is>
          <t>LERUM</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2233-2022</t>
        </is>
      </c>
      <c r="B12671" s="1" t="n">
        <v>44578.57564814815</v>
      </c>
      <c r="C12671" s="1" t="n">
        <v>46011</v>
      </c>
      <c r="D12671" t="inlineStr">
        <is>
          <t>VÄSTRA GÖTALANDS LÄN</t>
        </is>
      </c>
      <c r="E12671" t="inlineStr">
        <is>
          <t>TRANEMO</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20982-2021</t>
        </is>
      </c>
      <c r="B12672" s="1" t="n">
        <v>44318</v>
      </c>
      <c r="C12672" s="1" t="n">
        <v>46011</v>
      </c>
      <c r="D12672" t="inlineStr">
        <is>
          <t>VÄSTRA GÖTALANDS LÄN</t>
        </is>
      </c>
      <c r="E12672" t="inlineStr">
        <is>
          <t>TANUM</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20280-2023</t>
        </is>
      </c>
      <c r="B12673" s="1" t="n">
        <v>45056</v>
      </c>
      <c r="C12673" s="1" t="n">
        <v>46011</v>
      </c>
      <c r="D12673" t="inlineStr">
        <is>
          <t>VÄSTRA GÖTALANDS LÄN</t>
        </is>
      </c>
      <c r="E12673" t="inlineStr">
        <is>
          <t>VÄNERSBORG</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21915-2024</t>
        </is>
      </c>
      <c r="B12674" s="1" t="n">
        <v>45443</v>
      </c>
      <c r="C12674" s="1" t="n">
        <v>46011</v>
      </c>
      <c r="D12674" t="inlineStr">
        <is>
          <t>VÄSTRA GÖTALANDS LÄN</t>
        </is>
      </c>
      <c r="E12674" t="inlineStr">
        <is>
          <t>DALS-ED</t>
        </is>
      </c>
      <c r="F12674" t="inlineStr">
        <is>
          <t>Kyrkan</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68173-2021</t>
        </is>
      </c>
      <c r="B12675" s="1" t="n">
        <v>44526</v>
      </c>
      <c r="C12675" s="1" t="n">
        <v>46011</v>
      </c>
      <c r="D12675" t="inlineStr">
        <is>
          <t>VÄSTRA GÖTALANDS LÄN</t>
        </is>
      </c>
      <c r="E12675" t="inlineStr">
        <is>
          <t>MUNKEDAL</t>
        </is>
      </c>
      <c r="G12675" t="n">
        <v>10.8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10669-2024</t>
        </is>
      </c>
      <c r="B12676" s="1" t="n">
        <v>45369.34547453704</v>
      </c>
      <c r="C12676" s="1" t="n">
        <v>46011</v>
      </c>
      <c r="D12676" t="inlineStr">
        <is>
          <t>VÄSTRA GÖTALANDS LÄN</t>
        </is>
      </c>
      <c r="E12676" t="inlineStr">
        <is>
          <t>MARK</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22183-2023</t>
        </is>
      </c>
      <c r="B12677" s="1" t="n">
        <v>45069</v>
      </c>
      <c r="C12677" s="1" t="n">
        <v>46011</v>
      </c>
      <c r="D12677" t="inlineStr">
        <is>
          <t>VÄSTRA GÖTALANDS LÄN</t>
        </is>
      </c>
      <c r="E12677" t="inlineStr">
        <is>
          <t>SVENLJUNGA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22185-2023</t>
        </is>
      </c>
      <c r="B12678" s="1" t="n">
        <v>45069</v>
      </c>
      <c r="C12678" s="1" t="n">
        <v>46011</v>
      </c>
      <c r="D12678" t="inlineStr">
        <is>
          <t>VÄSTRA GÖTALANDS LÄN</t>
        </is>
      </c>
      <c r="E12678" t="inlineStr">
        <is>
          <t>SVENLJUNGA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71326-2021</t>
        </is>
      </c>
      <c r="B12679" s="1" t="n">
        <v>44539.75721064815</v>
      </c>
      <c r="C12679" s="1" t="n">
        <v>46011</v>
      </c>
      <c r="D12679" t="inlineStr">
        <is>
          <t>VÄSTRA GÖTALANDS LÄN</t>
        </is>
      </c>
      <c r="E12679" t="inlineStr">
        <is>
          <t>VARA</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24771-2023</t>
        </is>
      </c>
      <c r="B12680" s="1" t="n">
        <v>45084.64277777778</v>
      </c>
      <c r="C12680" s="1" t="n">
        <v>46011</v>
      </c>
      <c r="D12680" t="inlineStr">
        <is>
          <t>VÄSTRA GÖTALANDS LÄN</t>
        </is>
      </c>
      <c r="E12680" t="inlineStr">
        <is>
          <t>MÖLNDAL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24807-2023</t>
        </is>
      </c>
      <c r="B12681" s="1" t="n">
        <v>45084</v>
      </c>
      <c r="C12681" s="1" t="n">
        <v>46011</v>
      </c>
      <c r="D12681" t="inlineStr">
        <is>
          <t>VÄSTRA GÖTALANDS LÄN</t>
        </is>
      </c>
      <c r="E12681" t="inlineStr">
        <is>
          <t>STENUNGSUND</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24809-2023</t>
        </is>
      </c>
      <c r="B12682" s="1" t="n">
        <v>45084.84119212963</v>
      </c>
      <c r="C12682" s="1" t="n">
        <v>46011</v>
      </c>
      <c r="D12682" t="inlineStr">
        <is>
          <t>VÄSTRA GÖTALANDS LÄN</t>
        </is>
      </c>
      <c r="E12682" t="inlineStr">
        <is>
          <t>MUNKEDAL</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24812-2023</t>
        </is>
      </c>
      <c r="B12683" s="1" t="n">
        <v>45084</v>
      </c>
      <c r="C12683" s="1" t="n">
        <v>46011</v>
      </c>
      <c r="D12683" t="inlineStr">
        <is>
          <t>VÄSTRA GÖTALANDS LÄN</t>
        </is>
      </c>
      <c r="E12683" t="inlineStr">
        <is>
          <t>MUNKEDAL</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3960-2022</t>
        </is>
      </c>
      <c r="B12684" s="1" t="n">
        <v>44587.59861111111</v>
      </c>
      <c r="C12684" s="1" t="n">
        <v>46011</v>
      </c>
      <c r="D12684" t="inlineStr">
        <is>
          <t>VÄSTRA GÖTALANDS LÄN</t>
        </is>
      </c>
      <c r="E12684" t="inlineStr">
        <is>
          <t>TRANEMO</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5022-2022</t>
        </is>
      </c>
      <c r="B12685" s="1" t="n">
        <v>44593.63106481481</v>
      </c>
      <c r="C12685" s="1" t="n">
        <v>46011</v>
      </c>
      <c r="D12685" t="inlineStr">
        <is>
          <t>VÄSTRA GÖTALANDS LÄN</t>
        </is>
      </c>
      <c r="E12685" t="inlineStr">
        <is>
          <t>TRANEMO</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16942-2023</t>
        </is>
      </c>
      <c r="B12686" s="1" t="n">
        <v>45033</v>
      </c>
      <c r="C12686" s="1" t="n">
        <v>46011</v>
      </c>
      <c r="D12686" t="inlineStr">
        <is>
          <t>VÄSTRA GÖTALANDS LÄN</t>
        </is>
      </c>
      <c r="E12686" t="inlineStr">
        <is>
          <t>FALKÖPING</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19095-2023</t>
        </is>
      </c>
      <c r="B12687" s="1" t="n">
        <v>45048.4243287037</v>
      </c>
      <c r="C12687" s="1" t="n">
        <v>46011</v>
      </c>
      <c r="D12687" t="inlineStr">
        <is>
          <t>VÄSTRA GÖTALANDS LÄN</t>
        </is>
      </c>
      <c r="E12687" t="inlineStr">
        <is>
          <t>BORÅS</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17452-2023</t>
        </is>
      </c>
      <c r="B12688" s="1" t="n">
        <v>45036</v>
      </c>
      <c r="C12688" s="1" t="n">
        <v>46011</v>
      </c>
      <c r="D12688" t="inlineStr">
        <is>
          <t>VÄSTRA GÖTALANDS LÄN</t>
        </is>
      </c>
      <c r="E12688" t="inlineStr">
        <is>
          <t>SKÖVDE</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17586-2023</t>
        </is>
      </c>
      <c r="B12689" s="1" t="n">
        <v>45034</v>
      </c>
      <c r="C12689" s="1" t="n">
        <v>46011</v>
      </c>
      <c r="D12689" t="inlineStr">
        <is>
          <t>VÄSTRA GÖTALANDS LÄN</t>
        </is>
      </c>
      <c r="E12689" t="inlineStr">
        <is>
          <t>FÄRGELANDA</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42832-2024</t>
        </is>
      </c>
      <c r="B12690" s="1" t="n">
        <v>45566.61230324074</v>
      </c>
      <c r="C12690" s="1" t="n">
        <v>46011</v>
      </c>
      <c r="D12690" t="inlineStr">
        <is>
          <t>VÄSTRA GÖTALANDS LÄN</t>
        </is>
      </c>
      <c r="E12690" t="inlineStr">
        <is>
          <t>TRANEMO</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27768-2024</t>
        </is>
      </c>
      <c r="B12691" s="1" t="n">
        <v>45475.51938657407</v>
      </c>
      <c r="C12691" s="1" t="n">
        <v>46011</v>
      </c>
      <c r="D12691" t="inlineStr">
        <is>
          <t>VÄSTRA GÖTALANDS LÄN</t>
        </is>
      </c>
      <c r="E12691" t="inlineStr">
        <is>
          <t>MARK</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12072-2023</t>
        </is>
      </c>
      <c r="B12692" s="1" t="n">
        <v>44997.43135416666</v>
      </c>
      <c r="C12692" s="1" t="n">
        <v>46011</v>
      </c>
      <c r="D12692" t="inlineStr">
        <is>
          <t>VÄSTRA GÖTALANDS LÄN</t>
        </is>
      </c>
      <c r="E12692" t="inlineStr">
        <is>
          <t>BENGTSFORS</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69097-2020</t>
        </is>
      </c>
      <c r="B12693" s="1" t="n">
        <v>44188</v>
      </c>
      <c r="C12693" s="1" t="n">
        <v>46011</v>
      </c>
      <c r="D12693" t="inlineStr">
        <is>
          <t>VÄSTRA GÖTALANDS LÄN</t>
        </is>
      </c>
      <c r="E12693" t="inlineStr">
        <is>
          <t>VARA</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73305-2021</t>
        </is>
      </c>
      <c r="B12694" s="1" t="n">
        <v>44551.3184837963</v>
      </c>
      <c r="C12694" s="1" t="n">
        <v>46011</v>
      </c>
      <c r="D12694" t="inlineStr">
        <is>
          <t>VÄSTRA GÖTALANDS LÄN</t>
        </is>
      </c>
      <c r="E12694" t="inlineStr">
        <is>
          <t>VARA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4731-2022</t>
        </is>
      </c>
      <c r="B12695" s="1" t="n">
        <v>44592</v>
      </c>
      <c r="C12695" s="1" t="n">
        <v>46011</v>
      </c>
      <c r="D12695" t="inlineStr">
        <is>
          <t>VÄSTRA GÖTALANDS LÄN</t>
        </is>
      </c>
      <c r="E12695" t="inlineStr">
        <is>
          <t>DALS-ED</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855-2023</t>
        </is>
      </c>
      <c r="B12696" s="1" t="n">
        <v>44931.60407407407</v>
      </c>
      <c r="C12696" s="1" t="n">
        <v>46011</v>
      </c>
      <c r="D12696" t="inlineStr">
        <is>
          <t>VÄSTRA GÖTALANDS LÄN</t>
        </is>
      </c>
      <c r="E12696" t="inlineStr">
        <is>
          <t>TROLLHÄTTAN</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8464-2023</t>
        </is>
      </c>
      <c r="B12697" s="1" t="n">
        <v>44977.49489583333</v>
      </c>
      <c r="C12697" s="1" t="n">
        <v>46011</v>
      </c>
      <c r="D12697" t="inlineStr">
        <is>
          <t>VÄSTRA GÖTALANDS LÄN</t>
        </is>
      </c>
      <c r="E12697" t="inlineStr">
        <is>
          <t>LYSEKIL</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8981-2023</t>
        </is>
      </c>
      <c r="B12698" s="1" t="n">
        <v>44979</v>
      </c>
      <c r="C12698" s="1" t="n">
        <v>46011</v>
      </c>
      <c r="D12698" t="inlineStr">
        <is>
          <t>VÄSTRA GÖTALANDS LÄN</t>
        </is>
      </c>
      <c r="E12698" t="inlineStr">
        <is>
          <t>ALINGSÅS</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9008-2023</t>
        </is>
      </c>
      <c r="B12699" s="1" t="n">
        <v>44979</v>
      </c>
      <c r="C12699" s="1" t="n">
        <v>46011</v>
      </c>
      <c r="D12699" t="inlineStr">
        <is>
          <t>VÄSTRA GÖTALANDS LÄN</t>
        </is>
      </c>
      <c r="E12699" t="inlineStr">
        <is>
          <t>FALKÖPING</t>
        </is>
      </c>
      <c r="F12699" t="inlineStr">
        <is>
          <t>Övriga Aktiebolag</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9013-2023</t>
        </is>
      </c>
      <c r="B12700" s="1" t="n">
        <v>44979.60032407408</v>
      </c>
      <c r="C12700" s="1" t="n">
        <v>46011</v>
      </c>
      <c r="D12700" t="inlineStr">
        <is>
          <t>VÄSTRA GÖTALANDS LÄN</t>
        </is>
      </c>
      <c r="E12700" t="inlineStr">
        <is>
          <t>VARA</t>
        </is>
      </c>
      <c r="G12700" t="n">
        <v>0</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24150-2023</t>
        </is>
      </c>
      <c r="B12701" s="1" t="n">
        <v>45076</v>
      </c>
      <c r="C12701" s="1" t="n">
        <v>46011</v>
      </c>
      <c r="D12701" t="inlineStr">
        <is>
          <t>VÄSTRA GÖTALANDS LÄN</t>
        </is>
      </c>
      <c r="E12701" t="inlineStr">
        <is>
          <t>MUNKEDAL</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4218-2023</t>
        </is>
      </c>
      <c r="B12702" s="1" t="n">
        <v>44951</v>
      </c>
      <c r="C12702" s="1" t="n">
        <v>46011</v>
      </c>
      <c r="D12702" t="inlineStr">
        <is>
          <t>VÄSTRA GÖTALANDS LÄN</t>
        </is>
      </c>
      <c r="E12702" t="inlineStr">
        <is>
          <t>TÖREBODA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4241-2023</t>
        </is>
      </c>
      <c r="B12703" s="1" t="n">
        <v>44953</v>
      </c>
      <c r="C12703" s="1" t="n">
        <v>46011</v>
      </c>
      <c r="D12703" t="inlineStr">
        <is>
          <t>VÄSTRA GÖTALANDS LÄN</t>
        </is>
      </c>
      <c r="E12703" t="inlineStr">
        <is>
          <t>TIBRO</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4242-2023</t>
        </is>
      </c>
      <c r="B12704" s="1" t="n">
        <v>44953</v>
      </c>
      <c r="C12704" s="1" t="n">
        <v>46011</v>
      </c>
      <c r="D12704" t="inlineStr">
        <is>
          <t>VÄSTRA GÖTALANDS LÄN</t>
        </is>
      </c>
      <c r="E12704" t="inlineStr">
        <is>
          <t>TIBRO</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4272-2023</t>
        </is>
      </c>
      <c r="B12705" s="1" t="n">
        <v>44951</v>
      </c>
      <c r="C12705" s="1" t="n">
        <v>46011</v>
      </c>
      <c r="D12705" t="inlineStr">
        <is>
          <t>VÄSTRA GÖTALANDS LÄN</t>
        </is>
      </c>
      <c r="E12705" t="inlineStr">
        <is>
          <t>HJO</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4124-2022</t>
        </is>
      </c>
      <c r="B12706" s="1" t="n">
        <v>44588</v>
      </c>
      <c r="C12706" s="1" t="n">
        <v>46011</v>
      </c>
      <c r="D12706" t="inlineStr">
        <is>
          <t>VÄSTRA GÖTALANDS LÄN</t>
        </is>
      </c>
      <c r="E12706" t="inlineStr">
        <is>
          <t>SVENLJUNGA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4131-2022</t>
        </is>
      </c>
      <c r="B12707" s="1" t="n">
        <v>44588</v>
      </c>
      <c r="C12707" s="1" t="n">
        <v>46011</v>
      </c>
      <c r="D12707" t="inlineStr">
        <is>
          <t>VÄSTRA GÖTALANDS LÄN</t>
        </is>
      </c>
      <c r="E12707" t="inlineStr">
        <is>
          <t>MARK</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4136-2022</t>
        </is>
      </c>
      <c r="B12708" s="1" t="n">
        <v>44588.47145833333</v>
      </c>
      <c r="C12708" s="1" t="n">
        <v>46011</v>
      </c>
      <c r="D12708" t="inlineStr">
        <is>
          <t>VÄSTRA GÖTALANDS LÄN</t>
        </is>
      </c>
      <c r="E12708" t="inlineStr">
        <is>
          <t>MARK</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40251-2024</t>
        </is>
      </c>
      <c r="B12709" s="1" t="n">
        <v>45554.61689814815</v>
      </c>
      <c r="C12709" s="1" t="n">
        <v>46011</v>
      </c>
      <c r="D12709" t="inlineStr">
        <is>
          <t>VÄSTRA GÖTALANDS LÄN</t>
        </is>
      </c>
      <c r="E12709" t="inlineStr">
        <is>
          <t>ÅMÅL</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35608-2023</t>
        </is>
      </c>
      <c r="B12710" s="1" t="n">
        <v>45146</v>
      </c>
      <c r="C12710" s="1" t="n">
        <v>46011</v>
      </c>
      <c r="D12710" t="inlineStr">
        <is>
          <t>VÄSTRA GÖTALANDS LÄN</t>
        </is>
      </c>
      <c r="E12710" t="inlineStr">
        <is>
          <t>VARA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35728-2023</t>
        </is>
      </c>
      <c r="B12711" s="1" t="n">
        <v>45147.80034722222</v>
      </c>
      <c r="C12711" s="1" t="n">
        <v>46011</v>
      </c>
      <c r="D12711" t="inlineStr">
        <is>
          <t>VÄSTRA GÖTALANDS LÄN</t>
        </is>
      </c>
      <c r="E12711" t="inlineStr">
        <is>
          <t>MARK</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15395-2022</t>
        </is>
      </c>
      <c r="B12712" s="1" t="n">
        <v>44659</v>
      </c>
      <c r="C12712" s="1" t="n">
        <v>46011</v>
      </c>
      <c r="D12712" t="inlineStr">
        <is>
          <t>VÄSTRA GÖTALANDS LÄN</t>
        </is>
      </c>
      <c r="E12712" t="inlineStr">
        <is>
          <t>HERRLJUNGA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60992-2021</t>
        </is>
      </c>
      <c r="B12713" s="1" t="n">
        <v>44497.61384259259</v>
      </c>
      <c r="C12713" s="1" t="n">
        <v>46011</v>
      </c>
      <c r="D12713" t="inlineStr">
        <is>
          <t>VÄSTRA GÖTALANDS LÄN</t>
        </is>
      </c>
      <c r="E12713" t="inlineStr">
        <is>
          <t>ULRICEHAMN</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15164-2022</t>
        </is>
      </c>
      <c r="B12714" s="1" t="n">
        <v>44658.51116898148</v>
      </c>
      <c r="C12714" s="1" t="n">
        <v>46011</v>
      </c>
      <c r="D12714" t="inlineStr">
        <is>
          <t>VÄSTRA GÖTALANDS LÄN</t>
        </is>
      </c>
      <c r="E12714" t="inlineStr">
        <is>
          <t>SVENLJUNGA</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13382-2023</t>
        </is>
      </c>
      <c r="B12715" s="1" t="n">
        <v>45005.50784722222</v>
      </c>
      <c r="C12715" s="1" t="n">
        <v>46011</v>
      </c>
      <c r="D12715" t="inlineStr">
        <is>
          <t>VÄSTRA GÖTALANDS LÄN</t>
        </is>
      </c>
      <c r="E12715" t="inlineStr">
        <is>
          <t>LILLA EDET</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29939-2021</t>
        </is>
      </c>
      <c r="B12716" s="1" t="n">
        <v>44363.29069444445</v>
      </c>
      <c r="C12716" s="1" t="n">
        <v>46011</v>
      </c>
      <c r="D12716" t="inlineStr">
        <is>
          <t>VÄSTRA GÖTALANDS LÄN</t>
        </is>
      </c>
      <c r="E12716" t="inlineStr">
        <is>
          <t>MARIESTAD</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983-2024</t>
        </is>
      </c>
      <c r="B12717" s="1" t="n">
        <v>45301</v>
      </c>
      <c r="C12717" s="1" t="n">
        <v>46011</v>
      </c>
      <c r="D12717" t="inlineStr">
        <is>
          <t>VÄSTRA GÖTALANDS LÄN</t>
        </is>
      </c>
      <c r="E12717" t="inlineStr">
        <is>
          <t>BORÅS</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64551-2023</t>
        </is>
      </c>
      <c r="B12718" s="1" t="n">
        <v>45281.40021990741</v>
      </c>
      <c r="C12718" s="1" t="n">
        <v>46011</v>
      </c>
      <c r="D12718" t="inlineStr">
        <is>
          <t>VÄSTRA GÖTALANDS LÄN</t>
        </is>
      </c>
      <c r="E12718" t="inlineStr">
        <is>
          <t>SKARA</t>
        </is>
      </c>
      <c r="G12718" t="n">
        <v>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57491-2022</t>
        </is>
      </c>
      <c r="B12719" s="1" t="n">
        <v>44896</v>
      </c>
      <c r="C12719" s="1" t="n">
        <v>46011</v>
      </c>
      <c r="D12719" t="inlineStr">
        <is>
          <t>VÄSTRA GÖTALANDS LÄN</t>
        </is>
      </c>
      <c r="E12719" t="inlineStr">
        <is>
          <t>ALINGSÅS</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62363-2022</t>
        </is>
      </c>
      <c r="B12720" s="1" t="n">
        <v>44923.64582175926</v>
      </c>
      <c r="C12720" s="1" t="n">
        <v>46011</v>
      </c>
      <c r="D12720" t="inlineStr">
        <is>
          <t>VÄSTRA GÖTALANDS LÄN</t>
        </is>
      </c>
      <c r="E12720" t="inlineStr">
        <is>
          <t>TÖREBODA</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13491-2024</t>
        </is>
      </c>
      <c r="B12721" s="1" t="n">
        <v>45387.6203587963</v>
      </c>
      <c r="C12721" s="1" t="n">
        <v>46011</v>
      </c>
      <c r="D12721" t="inlineStr">
        <is>
          <t>VÄSTRA GÖTALANDS LÄN</t>
        </is>
      </c>
      <c r="E12721" t="inlineStr">
        <is>
          <t>DALS-ED</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37197-2023</t>
        </is>
      </c>
      <c r="B12722" s="1" t="n">
        <v>45155.66857638889</v>
      </c>
      <c r="C12722" s="1" t="n">
        <v>46011</v>
      </c>
      <c r="D12722" t="inlineStr">
        <is>
          <t>VÄSTRA GÖTALANDS LÄN</t>
        </is>
      </c>
      <c r="E12722" t="inlineStr">
        <is>
          <t>GULLSPÅNG</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38111-2023</t>
        </is>
      </c>
      <c r="B12723" s="1" t="n">
        <v>45161.3239699074</v>
      </c>
      <c r="C12723" s="1" t="n">
        <v>46011</v>
      </c>
      <c r="D12723" t="inlineStr">
        <is>
          <t>VÄSTRA GÖTALANDS LÄN</t>
        </is>
      </c>
      <c r="E12723" t="inlineStr">
        <is>
          <t>FALKÖPING</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51777-2024</t>
        </is>
      </c>
      <c r="B12724" s="1" t="n">
        <v>45607.45567129629</v>
      </c>
      <c r="C12724" s="1" t="n">
        <v>46011</v>
      </c>
      <c r="D12724" t="inlineStr">
        <is>
          <t>VÄSTRA GÖTALANDS LÄN</t>
        </is>
      </c>
      <c r="E12724" t="inlineStr">
        <is>
          <t>ULRICEHAMN</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44286-2023</t>
        </is>
      </c>
      <c r="B12725" s="1" t="n">
        <v>45188.63167824074</v>
      </c>
      <c r="C12725" s="1" t="n">
        <v>46011</v>
      </c>
      <c r="D12725" t="inlineStr">
        <is>
          <t>VÄSTRA GÖTALANDS LÄN</t>
        </is>
      </c>
      <c r="E12725" t="inlineStr">
        <is>
          <t>TRANEMO</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28889-2022</t>
        </is>
      </c>
      <c r="B12726" s="1" t="n">
        <v>44749.5343287037</v>
      </c>
      <c r="C12726" s="1" t="n">
        <v>46011</v>
      </c>
      <c r="D12726" t="inlineStr">
        <is>
          <t>VÄSTRA GÖTALANDS LÄN</t>
        </is>
      </c>
      <c r="E12726" t="inlineStr">
        <is>
          <t>SVENLJUNGA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31213-2022</t>
        </is>
      </c>
      <c r="B12727" s="1" t="n">
        <v>44771</v>
      </c>
      <c r="C12727" s="1" t="n">
        <v>46011</v>
      </c>
      <c r="D12727" t="inlineStr">
        <is>
          <t>VÄSTRA GÖTALANDS LÄN</t>
        </is>
      </c>
      <c r="E12727" t="inlineStr">
        <is>
          <t>BORÅS</t>
        </is>
      </c>
      <c r="F12727" t="inlineStr">
        <is>
          <t>Kyrkan</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68902-2020</t>
        </is>
      </c>
      <c r="B12728" s="1" t="n">
        <v>44187</v>
      </c>
      <c r="C12728" s="1" t="n">
        <v>46011</v>
      </c>
      <c r="D12728" t="inlineStr">
        <is>
          <t>VÄSTRA GÖTALANDS LÄN</t>
        </is>
      </c>
      <c r="E12728" t="inlineStr">
        <is>
          <t>LIDKÖPING</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2100-2023</t>
        </is>
      </c>
      <c r="B12729" s="1" t="n">
        <v>44939.71349537037</v>
      </c>
      <c r="C12729" s="1" t="n">
        <v>46011</v>
      </c>
      <c r="D12729" t="inlineStr">
        <is>
          <t>VÄSTRA GÖTALANDS LÄN</t>
        </is>
      </c>
      <c r="E12729" t="inlineStr">
        <is>
          <t>KARLSBORG</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47755-2022</t>
        </is>
      </c>
      <c r="B12730" s="1" t="n">
        <v>44854.67653935185</v>
      </c>
      <c r="C12730" s="1" t="n">
        <v>46011</v>
      </c>
      <c r="D12730" t="inlineStr">
        <is>
          <t>VÄSTRA GÖTALANDS LÄN</t>
        </is>
      </c>
      <c r="E12730" t="inlineStr">
        <is>
          <t>TROLLHÄTTAN</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38424-2024</t>
        </is>
      </c>
      <c r="B12731" s="1" t="n">
        <v>45546.37292824074</v>
      </c>
      <c r="C12731" s="1" t="n">
        <v>46011</v>
      </c>
      <c r="D12731" t="inlineStr">
        <is>
          <t>VÄSTRA GÖTALANDS LÄN</t>
        </is>
      </c>
      <c r="E12731" t="inlineStr">
        <is>
          <t>BORÅS</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38437-2024</t>
        </is>
      </c>
      <c r="B12732" s="1" t="n">
        <v>45546.41631944444</v>
      </c>
      <c r="C12732" s="1" t="n">
        <v>46011</v>
      </c>
      <c r="D12732" t="inlineStr">
        <is>
          <t>VÄSTRA GÖTALANDS LÄN</t>
        </is>
      </c>
      <c r="E12732" t="inlineStr">
        <is>
          <t>TRANEMO</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38446-2024</t>
        </is>
      </c>
      <c r="B12733" s="1" t="n">
        <v>45546.43177083333</v>
      </c>
      <c r="C12733" s="1" t="n">
        <v>46011</v>
      </c>
      <c r="D12733" t="inlineStr">
        <is>
          <t>VÄSTRA GÖTALANDS LÄN</t>
        </is>
      </c>
      <c r="E12733" t="inlineStr">
        <is>
          <t>ULRICEHAMN</t>
        </is>
      </c>
      <c r="F12733" t="inlineStr">
        <is>
          <t>Sveaskog</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35501-2021</t>
        </is>
      </c>
      <c r="B12734" s="1" t="n">
        <v>44385.61822916667</v>
      </c>
      <c r="C12734" s="1" t="n">
        <v>46011</v>
      </c>
      <c r="D12734" t="inlineStr">
        <is>
          <t>VÄSTRA GÖTALANDS LÄN</t>
        </is>
      </c>
      <c r="E12734" t="inlineStr">
        <is>
          <t>BENGTSFORS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9821-2022</t>
        </is>
      </c>
      <c r="B12735" s="1" t="n">
        <v>44620.44008101852</v>
      </c>
      <c r="C12735" s="1" t="n">
        <v>46011</v>
      </c>
      <c r="D12735" t="inlineStr">
        <is>
          <t>VÄSTRA GÖTALANDS LÄN</t>
        </is>
      </c>
      <c r="E12735" t="inlineStr">
        <is>
          <t>TROLLHÄTTAN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38205-2022</t>
        </is>
      </c>
      <c r="B12736" s="1" t="n">
        <v>44812</v>
      </c>
      <c r="C12736" s="1" t="n">
        <v>46011</v>
      </c>
      <c r="D12736" t="inlineStr">
        <is>
          <t>VÄSTRA GÖTALANDS LÄN</t>
        </is>
      </c>
      <c r="E12736" t="inlineStr">
        <is>
          <t>SKARA</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38246-2022</t>
        </is>
      </c>
      <c r="B12737" s="1" t="n">
        <v>44812.48083333333</v>
      </c>
      <c r="C12737" s="1" t="n">
        <v>46011</v>
      </c>
      <c r="D12737" t="inlineStr">
        <is>
          <t>VÄSTRA GÖTALANDS LÄN</t>
        </is>
      </c>
      <c r="E12737" t="inlineStr">
        <is>
          <t>FALKÖPING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14820-2021</t>
        </is>
      </c>
      <c r="B12738" s="1" t="n">
        <v>44280</v>
      </c>
      <c r="C12738" s="1" t="n">
        <v>46011</v>
      </c>
      <c r="D12738" t="inlineStr">
        <is>
          <t>VÄSTRA GÖTALANDS LÄN</t>
        </is>
      </c>
      <c r="E12738" t="inlineStr">
        <is>
          <t>TROLLHÄTTAN</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25711-2021</t>
        </is>
      </c>
      <c r="B12739" s="1" t="n">
        <v>44343.60782407408</v>
      </c>
      <c r="C12739" s="1" t="n">
        <v>46011</v>
      </c>
      <c r="D12739" t="inlineStr">
        <is>
          <t>VÄSTRA GÖTALANDS LÄN</t>
        </is>
      </c>
      <c r="E12739" t="inlineStr">
        <is>
          <t>SVENLJUNGA</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35709-2021</t>
        </is>
      </c>
      <c r="B12740" s="1" t="n">
        <v>44386.50672453704</v>
      </c>
      <c r="C12740" s="1" t="n">
        <v>46011</v>
      </c>
      <c r="D12740" t="inlineStr">
        <is>
          <t>VÄSTRA GÖTALANDS LÄN</t>
        </is>
      </c>
      <c r="E12740" t="inlineStr">
        <is>
          <t>MELLERUD</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38093-2022</t>
        </is>
      </c>
      <c r="B12741" s="1" t="n">
        <v>44811.94373842593</v>
      </c>
      <c r="C12741" s="1" t="n">
        <v>46011</v>
      </c>
      <c r="D12741" t="inlineStr">
        <is>
          <t>VÄSTRA GÖTALANDS LÄN</t>
        </is>
      </c>
      <c r="E12741" t="inlineStr">
        <is>
          <t>LILLA EDET</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54144-2022</t>
        </is>
      </c>
      <c r="B12742" s="1" t="n">
        <v>44881</v>
      </c>
      <c r="C12742" s="1" t="n">
        <v>46011</v>
      </c>
      <c r="D12742" t="inlineStr">
        <is>
          <t>VÄSTRA GÖTALANDS LÄN</t>
        </is>
      </c>
      <c r="E12742" t="inlineStr">
        <is>
          <t>BOLLEBYGD</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6829-2021</t>
        </is>
      </c>
      <c r="B12743" s="1" t="n">
        <v>44237</v>
      </c>
      <c r="C12743" s="1" t="n">
        <v>46011</v>
      </c>
      <c r="D12743" t="inlineStr">
        <is>
          <t>VÄSTRA GÖTALANDS LÄN</t>
        </is>
      </c>
      <c r="E12743" t="inlineStr">
        <is>
          <t>DALS-ED</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48711-2024</t>
        </is>
      </c>
      <c r="B12744" s="1" t="n">
        <v>45593.53931712963</v>
      </c>
      <c r="C12744" s="1" t="n">
        <v>46011</v>
      </c>
      <c r="D12744" t="inlineStr">
        <is>
          <t>VÄSTRA GÖTALANDS LÄN</t>
        </is>
      </c>
      <c r="E12744" t="inlineStr">
        <is>
          <t>BORÅS</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870-2024</t>
        </is>
      </c>
      <c r="B12745" s="1" t="n">
        <v>45301.32994212963</v>
      </c>
      <c r="C12745" s="1" t="n">
        <v>46011</v>
      </c>
      <c r="D12745" t="inlineStr">
        <is>
          <t>VÄSTRA GÖTALANDS LÄN</t>
        </is>
      </c>
      <c r="E12745" t="inlineStr">
        <is>
          <t>TRANEMO</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50941-2022</t>
        </is>
      </c>
      <c r="B12746" s="1" t="n">
        <v>44867</v>
      </c>
      <c r="C12746" s="1" t="n">
        <v>46011</v>
      </c>
      <c r="D12746" t="inlineStr">
        <is>
          <t>VÄSTRA GÖTALANDS LÄN</t>
        </is>
      </c>
      <c r="E12746" t="inlineStr">
        <is>
          <t>TANUM</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7986-2023</t>
        </is>
      </c>
      <c r="B12747" s="1" t="n">
        <v>44970</v>
      </c>
      <c r="C12747" s="1" t="n">
        <v>46011</v>
      </c>
      <c r="D12747" t="inlineStr">
        <is>
          <t>VÄSTRA GÖTALANDS LÄN</t>
        </is>
      </c>
      <c r="E12747" t="inlineStr">
        <is>
          <t>DALS-ED</t>
        </is>
      </c>
      <c r="F12747" t="inlineStr">
        <is>
          <t>Kyrkan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7122-2024</t>
        </is>
      </c>
      <c r="B12748" s="1" t="n">
        <v>45344</v>
      </c>
      <c r="C12748" s="1" t="n">
        <v>46011</v>
      </c>
      <c r="D12748" t="inlineStr">
        <is>
          <t>VÄSTRA GÖTALANDS LÄN</t>
        </is>
      </c>
      <c r="E12748" t="inlineStr">
        <is>
          <t>TÖREBODA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14592-2024</t>
        </is>
      </c>
      <c r="B12749" s="1" t="n">
        <v>45395.5187962963</v>
      </c>
      <c r="C12749" s="1" t="n">
        <v>46011</v>
      </c>
      <c r="D12749" t="inlineStr">
        <is>
          <t>VÄSTRA GÖTALANDS LÄN</t>
        </is>
      </c>
      <c r="E12749" t="inlineStr">
        <is>
          <t>ULRICEHAMN</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15556-2024</t>
        </is>
      </c>
      <c r="B12750" s="1" t="n">
        <v>45401</v>
      </c>
      <c r="C12750" s="1" t="n">
        <v>46011</v>
      </c>
      <c r="D12750" t="inlineStr">
        <is>
          <t>VÄSTRA GÖTALANDS LÄN</t>
        </is>
      </c>
      <c r="E12750" t="inlineStr">
        <is>
          <t>BENGTSFORS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15626-2024</t>
        </is>
      </c>
      <c r="B12751" s="1" t="n">
        <v>45402.46005787037</v>
      </c>
      <c r="C12751" s="1" t="n">
        <v>46011</v>
      </c>
      <c r="D12751" t="inlineStr">
        <is>
          <t>VÄSTRA GÖTALANDS LÄN</t>
        </is>
      </c>
      <c r="E12751" t="inlineStr">
        <is>
          <t>DALS-ED</t>
        </is>
      </c>
      <c r="G12751" t="n">
        <v>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60969-2021</t>
        </is>
      </c>
      <c r="B12752" s="1" t="n">
        <v>44497.5580787037</v>
      </c>
      <c r="C12752" s="1" t="n">
        <v>46011</v>
      </c>
      <c r="D12752" t="inlineStr">
        <is>
          <t>VÄSTRA GÖTALANDS LÄN</t>
        </is>
      </c>
      <c r="E12752" t="inlineStr">
        <is>
          <t>LYSEKIL</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54408-2021</t>
        </is>
      </c>
      <c r="B12753" s="1" t="n">
        <v>44473.40636574074</v>
      </c>
      <c r="C12753" s="1" t="n">
        <v>46011</v>
      </c>
      <c r="D12753" t="inlineStr">
        <is>
          <t>VÄSTRA GÖTALANDS LÄN</t>
        </is>
      </c>
      <c r="E12753" t="inlineStr">
        <is>
          <t>ESSUNGA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8127-2021</t>
        </is>
      </c>
      <c r="B12754" s="1" t="n">
        <v>44243</v>
      </c>
      <c r="C12754" s="1" t="n">
        <v>46011</v>
      </c>
      <c r="D12754" t="inlineStr">
        <is>
          <t>VÄSTRA GÖTALANDS LÄN</t>
        </is>
      </c>
      <c r="E12754" t="inlineStr">
        <is>
          <t>GÖTENE</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24940-2023</t>
        </is>
      </c>
      <c r="B12755" s="1" t="n">
        <v>45085.54883101852</v>
      </c>
      <c r="C12755" s="1" t="n">
        <v>46011</v>
      </c>
      <c r="D12755" t="inlineStr">
        <is>
          <t>VÄSTRA GÖTALANDS LÄN</t>
        </is>
      </c>
      <c r="E12755" t="inlineStr">
        <is>
          <t>VÄNERSBORG</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38522-2024</t>
        </is>
      </c>
      <c r="B12756" s="1" t="n">
        <v>45546.56513888889</v>
      </c>
      <c r="C12756" s="1" t="n">
        <v>46011</v>
      </c>
      <c r="D12756" t="inlineStr">
        <is>
          <t>VÄSTRA GÖTALANDS LÄN</t>
        </is>
      </c>
      <c r="E12756" t="inlineStr">
        <is>
          <t>LILLA EDET</t>
        </is>
      </c>
      <c r="F12756" t="inlineStr">
        <is>
          <t>Kyrkan</t>
        </is>
      </c>
      <c r="G12756" t="n">
        <v>5.3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38544-2024</t>
        </is>
      </c>
      <c r="B12757" s="1" t="n">
        <v>45546.60534722222</v>
      </c>
      <c r="C12757" s="1" t="n">
        <v>46011</v>
      </c>
      <c r="D12757" t="inlineStr">
        <is>
          <t>VÄSTRA GÖTALANDS LÄN</t>
        </is>
      </c>
      <c r="E12757" t="inlineStr">
        <is>
          <t>MUNKEDAL</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33921-2023</t>
        </is>
      </c>
      <c r="B12758" s="1" t="n">
        <v>45134.47034722222</v>
      </c>
      <c r="C12758" s="1" t="n">
        <v>46011</v>
      </c>
      <c r="D12758" t="inlineStr">
        <is>
          <t>VÄSTRA GÖTALANDS LÄN</t>
        </is>
      </c>
      <c r="E12758" t="inlineStr">
        <is>
          <t>VÄNERSBORG</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34448-2023</t>
        </is>
      </c>
      <c r="B12759" s="1" t="n">
        <v>45139</v>
      </c>
      <c r="C12759" s="1" t="n">
        <v>46011</v>
      </c>
      <c r="D12759" t="inlineStr">
        <is>
          <t>VÄSTRA GÖTALANDS LÄN</t>
        </is>
      </c>
      <c r="E12759" t="inlineStr">
        <is>
          <t>ULRICEHAMN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34569-2023</t>
        </is>
      </c>
      <c r="B12760" s="1" t="n">
        <v>45140</v>
      </c>
      <c r="C12760" s="1" t="n">
        <v>46011</v>
      </c>
      <c r="D12760" t="inlineStr">
        <is>
          <t>VÄSTRA GÖTALANDS LÄN</t>
        </is>
      </c>
      <c r="E12760" t="inlineStr">
        <is>
          <t>SKARA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34779-2023</t>
        </is>
      </c>
      <c r="B12761" s="1" t="n">
        <v>45141.53666666667</v>
      </c>
      <c r="C12761" s="1" t="n">
        <v>46011</v>
      </c>
      <c r="D12761" t="inlineStr">
        <is>
          <t>VÄSTRA GÖTALANDS LÄN</t>
        </is>
      </c>
      <c r="E12761" t="inlineStr">
        <is>
          <t>LIDKÖPING</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6302-2022</t>
        </is>
      </c>
      <c r="B12762" s="1" t="n">
        <v>44600.5171412037</v>
      </c>
      <c r="C12762" s="1" t="n">
        <v>46011</v>
      </c>
      <c r="D12762" t="inlineStr">
        <is>
          <t>VÄSTRA GÖTALANDS LÄN</t>
        </is>
      </c>
      <c r="E12762" t="inlineStr">
        <is>
          <t>TRANEMO</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60996-2022</t>
        </is>
      </c>
      <c r="B12763" s="1" t="n">
        <v>44914</v>
      </c>
      <c r="C12763" s="1" t="n">
        <v>46011</v>
      </c>
      <c r="D12763" t="inlineStr">
        <is>
          <t>VÄSTRA GÖTALANDS LÄN</t>
        </is>
      </c>
      <c r="E12763" t="inlineStr">
        <is>
          <t>MELLERUD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57561-2022</t>
        </is>
      </c>
      <c r="B12764" s="1" t="n">
        <v>44896</v>
      </c>
      <c r="C12764" s="1" t="n">
        <v>46011</v>
      </c>
      <c r="D12764" t="inlineStr">
        <is>
          <t>VÄSTRA GÖTALANDS LÄN</t>
        </is>
      </c>
      <c r="E12764" t="inlineStr">
        <is>
          <t>ULRICEHAMN</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22715-2023</t>
        </is>
      </c>
      <c r="B12765" s="1" t="n">
        <v>45071</v>
      </c>
      <c r="C12765" s="1" t="n">
        <v>46011</v>
      </c>
      <c r="D12765" t="inlineStr">
        <is>
          <t>VÄSTRA GÖTALANDS LÄN</t>
        </is>
      </c>
      <c r="E12765" t="inlineStr">
        <is>
          <t>ULRICEHAMN</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22721-2023</t>
        </is>
      </c>
      <c r="B12766" s="1" t="n">
        <v>45071.83787037037</v>
      </c>
      <c r="C12766" s="1" t="n">
        <v>46011</v>
      </c>
      <c r="D12766" t="inlineStr">
        <is>
          <t>VÄSTRA GÖTALANDS LÄN</t>
        </is>
      </c>
      <c r="E12766" t="inlineStr">
        <is>
          <t>FÄRGELANDA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70491-2021</t>
        </is>
      </c>
      <c r="B12767" s="1" t="n">
        <v>44536</v>
      </c>
      <c r="C12767" s="1" t="n">
        <v>46011</v>
      </c>
      <c r="D12767" t="inlineStr">
        <is>
          <t>VÄSTRA GÖTALANDS LÄN</t>
        </is>
      </c>
      <c r="E12767" t="inlineStr">
        <is>
          <t>UDDEVALLA</t>
        </is>
      </c>
      <c r="G12767" t="n">
        <v>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11145-2024</t>
        </is>
      </c>
      <c r="B12768" s="1" t="n">
        <v>45371.46417824074</v>
      </c>
      <c r="C12768" s="1" t="n">
        <v>46011</v>
      </c>
      <c r="D12768" t="inlineStr">
        <is>
          <t>VÄSTRA GÖTALANDS LÄN</t>
        </is>
      </c>
      <c r="E12768" t="inlineStr">
        <is>
          <t>TANUM</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10689-2021</t>
        </is>
      </c>
      <c r="B12769" s="1" t="n">
        <v>44258</v>
      </c>
      <c r="C12769" s="1" t="n">
        <v>46011</v>
      </c>
      <c r="D12769" t="inlineStr">
        <is>
          <t>VÄSTRA GÖTALANDS LÄN</t>
        </is>
      </c>
      <c r="E12769" t="inlineStr">
        <is>
          <t>ALINGSÅS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5820-2021</t>
        </is>
      </c>
      <c r="B12770" s="1" t="n">
        <v>44229</v>
      </c>
      <c r="C12770" s="1" t="n">
        <v>46011</v>
      </c>
      <c r="D12770" t="inlineStr">
        <is>
          <t>VÄSTRA GÖTALANDS LÄN</t>
        </is>
      </c>
      <c r="E12770" t="inlineStr">
        <is>
          <t>VÄNERSBORG</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26246-2023</t>
        </is>
      </c>
      <c r="B12771" s="1" t="n">
        <v>45091</v>
      </c>
      <c r="C12771" s="1" t="n">
        <v>46011</v>
      </c>
      <c r="D12771" t="inlineStr">
        <is>
          <t>VÄSTRA GÖTALANDS LÄN</t>
        </is>
      </c>
      <c r="E12771" t="inlineStr">
        <is>
          <t>BENGTSFORS</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26248-2023</t>
        </is>
      </c>
      <c r="B12772" s="1" t="n">
        <v>45091</v>
      </c>
      <c r="C12772" s="1" t="n">
        <v>46011</v>
      </c>
      <c r="D12772" t="inlineStr">
        <is>
          <t>VÄSTRA GÖTALANDS LÄN</t>
        </is>
      </c>
      <c r="E12772" t="inlineStr">
        <is>
          <t>ULRICEHAMN</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4765-2022</t>
        </is>
      </c>
      <c r="B12773" s="1" t="n">
        <v>44592.60259259259</v>
      </c>
      <c r="C12773" s="1" t="n">
        <v>46011</v>
      </c>
      <c r="D12773" t="inlineStr">
        <is>
          <t>VÄSTRA GÖTALANDS LÄN</t>
        </is>
      </c>
      <c r="E12773" t="inlineStr">
        <is>
          <t>FALKÖPING</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15853-2023</t>
        </is>
      </c>
      <c r="B12774" s="1" t="n">
        <v>45022.36556712963</v>
      </c>
      <c r="C12774" s="1" t="n">
        <v>46011</v>
      </c>
      <c r="D12774" t="inlineStr">
        <is>
          <t>VÄSTRA GÖTALANDS LÄN</t>
        </is>
      </c>
      <c r="E12774" t="inlineStr">
        <is>
          <t>MUNKEDAL</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2231-2023</t>
        </is>
      </c>
      <c r="B12775" s="1" t="n">
        <v>44942</v>
      </c>
      <c r="C12775" s="1" t="n">
        <v>46011</v>
      </c>
      <c r="D12775" t="inlineStr">
        <is>
          <t>VÄSTRA GÖTALANDS LÄN</t>
        </is>
      </c>
      <c r="E12775" t="inlineStr">
        <is>
          <t>STRÖMSTAD</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60112-2024</t>
        </is>
      </c>
      <c r="B12776" s="1" t="n">
        <v>45642.57456018519</v>
      </c>
      <c r="C12776" s="1" t="n">
        <v>46011</v>
      </c>
      <c r="D12776" t="inlineStr">
        <is>
          <t>VÄSTRA GÖTALANDS LÄN</t>
        </is>
      </c>
      <c r="E12776" t="inlineStr">
        <is>
          <t>LIDKÖPING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45054-2023</t>
        </is>
      </c>
      <c r="B12777" s="1" t="n">
        <v>45191</v>
      </c>
      <c r="C12777" s="1" t="n">
        <v>46011</v>
      </c>
      <c r="D12777" t="inlineStr">
        <is>
          <t>VÄSTRA GÖTALANDS LÄN</t>
        </is>
      </c>
      <c r="E12777" t="inlineStr">
        <is>
          <t>TIBRO</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29728-2022</t>
        </is>
      </c>
      <c r="B12778" s="1" t="n">
        <v>44755.45465277778</v>
      </c>
      <c r="C12778" s="1" t="n">
        <v>46011</v>
      </c>
      <c r="D12778" t="inlineStr">
        <is>
          <t>VÄSTRA GÖTALANDS LÄN</t>
        </is>
      </c>
      <c r="E12778" t="inlineStr">
        <is>
          <t>TIBRO</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48574-2024</t>
        </is>
      </c>
      <c r="B12779" s="1" t="n">
        <v>45593.41086805556</v>
      </c>
      <c r="C12779" s="1" t="n">
        <v>46011</v>
      </c>
      <c r="D12779" t="inlineStr">
        <is>
          <t>VÄSTRA GÖTALANDS LÄN</t>
        </is>
      </c>
      <c r="E12779" t="inlineStr">
        <is>
          <t>DALS-ED</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48579-2024</t>
        </is>
      </c>
      <c r="B12780" s="1" t="n">
        <v>45593.41236111111</v>
      </c>
      <c r="C12780" s="1" t="n">
        <v>46011</v>
      </c>
      <c r="D12780" t="inlineStr">
        <is>
          <t>VÄSTRA GÖTALANDS LÄN</t>
        </is>
      </c>
      <c r="E12780" t="inlineStr">
        <is>
          <t>SKARA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61626-2022</t>
        </is>
      </c>
      <c r="B12781" s="1" t="n">
        <v>44916.6887037037</v>
      </c>
      <c r="C12781" s="1" t="n">
        <v>46011</v>
      </c>
      <c r="D12781" t="inlineStr">
        <is>
          <t>VÄSTRA GÖTALANDS LÄN</t>
        </is>
      </c>
      <c r="E12781" t="inlineStr">
        <is>
          <t>DALS-ED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1960-2024</t>
        </is>
      </c>
      <c r="B12782" s="1" t="n">
        <v>45308.50962962963</v>
      </c>
      <c r="C12782" s="1" t="n">
        <v>46011</v>
      </c>
      <c r="D12782" t="inlineStr">
        <is>
          <t>VÄSTRA GÖTALANDS LÄN</t>
        </is>
      </c>
      <c r="E12782" t="inlineStr">
        <is>
          <t>ALE</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2008-2024</t>
        </is>
      </c>
      <c r="B12783" s="1" t="n">
        <v>45308</v>
      </c>
      <c r="C12783" s="1" t="n">
        <v>46011</v>
      </c>
      <c r="D12783" t="inlineStr">
        <is>
          <t>VÄSTRA GÖTALANDS LÄN</t>
        </is>
      </c>
      <c r="E12783" t="inlineStr">
        <is>
          <t>BORÅS</t>
        </is>
      </c>
      <c r="F12783" t="inlineStr">
        <is>
          <t>Kommuner</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49218-2022</t>
        </is>
      </c>
      <c r="B12784" s="1" t="n">
        <v>44861.33518518518</v>
      </c>
      <c r="C12784" s="1" t="n">
        <v>46011</v>
      </c>
      <c r="D12784" t="inlineStr">
        <is>
          <t>VÄSTRA GÖTALANDS LÄN</t>
        </is>
      </c>
      <c r="E12784" t="inlineStr">
        <is>
          <t>MUNKEDAL</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46040-2021</t>
        </is>
      </c>
      <c r="B12785" s="1" t="n">
        <v>44441</v>
      </c>
      <c r="C12785" s="1" t="n">
        <v>46011</v>
      </c>
      <c r="D12785" t="inlineStr">
        <is>
          <t>VÄSTRA GÖTALANDS LÄN</t>
        </is>
      </c>
      <c r="E12785" t="inlineStr">
        <is>
          <t>FÄRGELANDA</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22847-2021</t>
        </is>
      </c>
      <c r="B12786" s="1" t="n">
        <v>44328</v>
      </c>
      <c r="C12786" s="1" t="n">
        <v>46011</v>
      </c>
      <c r="D12786" t="inlineStr">
        <is>
          <t>VÄSTRA GÖTALANDS LÄN</t>
        </is>
      </c>
      <c r="E12786" t="inlineStr">
        <is>
          <t>DALS-ED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22848-2021</t>
        </is>
      </c>
      <c r="B12787" s="1" t="n">
        <v>44328.4183449074</v>
      </c>
      <c r="C12787" s="1" t="n">
        <v>46011</v>
      </c>
      <c r="D12787" t="inlineStr">
        <is>
          <t>VÄSTRA GÖTALANDS LÄN</t>
        </is>
      </c>
      <c r="E12787" t="inlineStr">
        <is>
          <t>FALKÖPING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42126-2023</t>
        </is>
      </c>
      <c r="B12788" s="1" t="n">
        <v>45177.67642361111</v>
      </c>
      <c r="C12788" s="1" t="n">
        <v>46011</v>
      </c>
      <c r="D12788" t="inlineStr">
        <is>
          <t>VÄSTRA GÖTALANDS LÄN</t>
        </is>
      </c>
      <c r="E12788" t="inlineStr">
        <is>
          <t>HERRLJUNGA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48016-2023</t>
        </is>
      </c>
      <c r="B12789" s="1" t="n">
        <v>45204.66226851852</v>
      </c>
      <c r="C12789" s="1" t="n">
        <v>46011</v>
      </c>
      <c r="D12789" t="inlineStr">
        <is>
          <t>VÄSTRA GÖTALANDS LÄN</t>
        </is>
      </c>
      <c r="E12789" t="inlineStr">
        <is>
          <t>FALKÖPING</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34248-2023</t>
        </is>
      </c>
      <c r="B12790" s="1" t="n">
        <v>45138.55064814815</v>
      </c>
      <c r="C12790" s="1" t="n">
        <v>46011</v>
      </c>
      <c r="D12790" t="inlineStr">
        <is>
          <t>VÄSTRA GÖTALANDS LÄN</t>
        </is>
      </c>
      <c r="E12790" t="inlineStr">
        <is>
          <t>SKÖVDE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49634-2024</t>
        </is>
      </c>
      <c r="B12791" s="1" t="n">
        <v>45596.59591435185</v>
      </c>
      <c r="C12791" s="1" t="n">
        <v>46011</v>
      </c>
      <c r="D12791" t="inlineStr">
        <is>
          <t>VÄSTRA GÖTALANDS LÄN</t>
        </is>
      </c>
      <c r="E12791" t="inlineStr">
        <is>
          <t>SOTENÄS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34253-2023</t>
        </is>
      </c>
      <c r="B12792" s="1" t="n">
        <v>45138.5799537037</v>
      </c>
      <c r="C12792" s="1" t="n">
        <v>46011</v>
      </c>
      <c r="D12792" t="inlineStr">
        <is>
          <t>VÄSTRA GÖTALANDS LÄN</t>
        </is>
      </c>
      <c r="E12792" t="inlineStr">
        <is>
          <t>STENUNGSUND</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48269-2024</t>
        </is>
      </c>
      <c r="B12793" s="1" t="n">
        <v>45590.43114583333</v>
      </c>
      <c r="C12793" s="1" t="n">
        <v>46011</v>
      </c>
      <c r="D12793" t="inlineStr">
        <is>
          <t>VÄSTRA GÖTALANDS LÄN</t>
        </is>
      </c>
      <c r="E12793" t="inlineStr">
        <is>
          <t>MARIESTAD</t>
        </is>
      </c>
      <c r="F12793" t="inlineStr">
        <is>
          <t>Kyrkan</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36652-2023</t>
        </is>
      </c>
      <c r="B12794" s="1" t="n">
        <v>45153.56390046296</v>
      </c>
      <c r="C12794" s="1" t="n">
        <v>46011</v>
      </c>
      <c r="D12794" t="inlineStr">
        <is>
          <t>VÄSTRA GÖTALANDS LÄN</t>
        </is>
      </c>
      <c r="E12794" t="inlineStr">
        <is>
          <t>HERRLJUNGA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25697-2023</t>
        </is>
      </c>
      <c r="B12795" s="1" t="n">
        <v>45089.98043981481</v>
      </c>
      <c r="C12795" s="1" t="n">
        <v>46011</v>
      </c>
      <c r="D12795" t="inlineStr">
        <is>
          <t>VÄSTRA GÖTALANDS LÄN</t>
        </is>
      </c>
      <c r="E12795" t="inlineStr">
        <is>
          <t>KARLSBORG</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48494-2024</t>
        </is>
      </c>
      <c r="B12796" s="1" t="n">
        <v>45592.75105324074</v>
      </c>
      <c r="C12796" s="1" t="n">
        <v>46011</v>
      </c>
      <c r="D12796" t="inlineStr">
        <is>
          <t>VÄSTRA GÖTALANDS LÄN</t>
        </is>
      </c>
      <c r="E12796" t="inlineStr">
        <is>
          <t>VÄNERSBORG</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48510-2024</t>
        </is>
      </c>
      <c r="B12797" s="1" t="n">
        <v>45591</v>
      </c>
      <c r="C12797" s="1" t="n">
        <v>46011</v>
      </c>
      <c r="D12797" t="inlineStr">
        <is>
          <t>VÄSTRA GÖTALANDS LÄN</t>
        </is>
      </c>
      <c r="E12797" t="inlineStr">
        <is>
          <t>TIBRO</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42359-2023</t>
        </is>
      </c>
      <c r="B12798" s="1" t="n">
        <v>45180.52940972222</v>
      </c>
      <c r="C12798" s="1" t="n">
        <v>46011</v>
      </c>
      <c r="D12798" t="inlineStr">
        <is>
          <t>VÄSTRA GÖTALANDS LÄN</t>
        </is>
      </c>
      <c r="E12798" t="inlineStr">
        <is>
          <t>VÅRGÅRDA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40834-2024</t>
        </is>
      </c>
      <c r="B12799" s="1" t="n">
        <v>45558.56859953704</v>
      </c>
      <c r="C12799" s="1" t="n">
        <v>46011</v>
      </c>
      <c r="D12799" t="inlineStr">
        <is>
          <t>VÄSTRA GÖTALANDS LÄN</t>
        </is>
      </c>
      <c r="E12799" t="inlineStr">
        <is>
          <t>FALKÖPING</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13220-2022</t>
        </is>
      </c>
      <c r="B12800" s="1" t="n">
        <v>44644.57788194445</v>
      </c>
      <c r="C12800" s="1" t="n">
        <v>46011</v>
      </c>
      <c r="D12800" t="inlineStr">
        <is>
          <t>VÄSTRA GÖTALANDS LÄN</t>
        </is>
      </c>
      <c r="E12800" t="inlineStr">
        <is>
          <t>TROLLHÄTTAN</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5264-2022</t>
        </is>
      </c>
      <c r="B12801" s="1" t="n">
        <v>44594</v>
      </c>
      <c r="C12801" s="1" t="n">
        <v>46011</v>
      </c>
      <c r="D12801" t="inlineStr">
        <is>
          <t>VÄSTRA GÖTALANDS LÄN</t>
        </is>
      </c>
      <c r="E12801" t="inlineStr">
        <is>
          <t>FALKÖPING</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5436-2022</t>
        </is>
      </c>
      <c r="B12802" s="1" t="n">
        <v>44595</v>
      </c>
      <c r="C12802" s="1" t="n">
        <v>46011</v>
      </c>
      <c r="D12802" t="inlineStr">
        <is>
          <t>VÄSTRA GÖTALANDS LÄN</t>
        </is>
      </c>
      <c r="E12802" t="inlineStr">
        <is>
          <t>FÄRGELANDA</t>
        </is>
      </c>
      <c r="G12802" t="n">
        <v>11.3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14760-2022</t>
        </is>
      </c>
      <c r="B12803" s="1" t="n">
        <v>44656.41016203703</v>
      </c>
      <c r="C12803" s="1" t="n">
        <v>46011</v>
      </c>
      <c r="D12803" t="inlineStr">
        <is>
          <t>VÄSTRA GÖTALANDS LÄN</t>
        </is>
      </c>
      <c r="E12803" t="inlineStr">
        <is>
          <t>TRANEMO</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14783-2022</t>
        </is>
      </c>
      <c r="B12804" s="1" t="n">
        <v>44656.46391203703</v>
      </c>
      <c r="C12804" s="1" t="n">
        <v>46011</v>
      </c>
      <c r="D12804" t="inlineStr">
        <is>
          <t>VÄSTRA GÖTALANDS LÄN</t>
        </is>
      </c>
      <c r="E12804" t="inlineStr">
        <is>
          <t>BORÅS</t>
        </is>
      </c>
      <c r="G12804" t="n">
        <v>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16277-2021</t>
        </is>
      </c>
      <c r="B12805" s="1" t="n">
        <v>44292.64259259259</v>
      </c>
      <c r="C12805" s="1" t="n">
        <v>46011</v>
      </c>
      <c r="D12805" t="inlineStr">
        <is>
          <t>VÄSTRA GÖTALANDS LÄN</t>
        </is>
      </c>
      <c r="E12805" t="inlineStr">
        <is>
          <t>SKÖVDE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40380-2022</t>
        </is>
      </c>
      <c r="B12806" s="1" t="n">
        <v>44823.40733796296</v>
      </c>
      <c r="C12806" s="1" t="n">
        <v>46011</v>
      </c>
      <c r="D12806" t="inlineStr">
        <is>
          <t>VÄSTRA GÖTALANDS LÄN</t>
        </is>
      </c>
      <c r="E12806" t="inlineStr">
        <is>
          <t>DALS-ED</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18591-2021</t>
        </is>
      </c>
      <c r="B12807" s="1" t="n">
        <v>44306</v>
      </c>
      <c r="C12807" s="1" t="n">
        <v>46011</v>
      </c>
      <c r="D12807" t="inlineStr">
        <is>
          <t>VÄSTRA GÖTALANDS LÄN</t>
        </is>
      </c>
      <c r="E12807" t="inlineStr">
        <is>
          <t>STENUNGSUND</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1600-2023</t>
        </is>
      </c>
      <c r="B12808" s="1" t="n">
        <v>44937.66662037037</v>
      </c>
      <c r="C12808" s="1" t="n">
        <v>46011</v>
      </c>
      <c r="D12808" t="inlineStr">
        <is>
          <t>VÄSTRA GÖTALANDS LÄN</t>
        </is>
      </c>
      <c r="E12808" t="inlineStr">
        <is>
          <t>MARK</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8828-2024</t>
        </is>
      </c>
      <c r="B12809" s="1" t="n">
        <v>45356.67628472222</v>
      </c>
      <c r="C12809" s="1" t="n">
        <v>46011</v>
      </c>
      <c r="D12809" t="inlineStr">
        <is>
          <t>VÄSTRA GÖTALANDS LÄN</t>
        </is>
      </c>
      <c r="E12809" t="inlineStr">
        <is>
          <t>ALINGSÅS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1559-2023</t>
        </is>
      </c>
      <c r="B12810" s="1" t="n">
        <v>44937.60048611111</v>
      </c>
      <c r="C12810" s="1" t="n">
        <v>46011</v>
      </c>
      <c r="D12810" t="inlineStr">
        <is>
          <t>VÄSTRA GÖTALANDS LÄN</t>
        </is>
      </c>
      <c r="E12810" t="inlineStr">
        <is>
          <t>MUNKEDAL</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9601-2023</t>
        </is>
      </c>
      <c r="B12811" s="1" t="n">
        <v>44983</v>
      </c>
      <c r="C12811" s="1" t="n">
        <v>46011</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9749-2023</t>
        </is>
      </c>
      <c r="B12812" s="1" t="n">
        <v>44984</v>
      </c>
      <c r="C12812" s="1" t="n">
        <v>46011</v>
      </c>
      <c r="D12812" t="inlineStr">
        <is>
          <t>VÄSTRA GÖTALANDS LÄN</t>
        </is>
      </c>
      <c r="E12812" t="inlineStr">
        <is>
          <t>VÅRGÅRDA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39678-2021</t>
        </is>
      </c>
      <c r="B12813" s="1" t="n">
        <v>44417</v>
      </c>
      <c r="C12813" s="1" t="n">
        <v>46011</v>
      </c>
      <c r="D12813" t="inlineStr">
        <is>
          <t>VÄSTRA GÖTALANDS LÄN</t>
        </is>
      </c>
      <c r="E12813" t="inlineStr">
        <is>
          <t>ESSUNGA</t>
        </is>
      </c>
      <c r="F12813" t="inlineStr">
        <is>
          <t>Allmännings- och besparingsskogar</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1944-2024</t>
        </is>
      </c>
      <c r="B12814" s="1" t="n">
        <v>45308</v>
      </c>
      <c r="C12814" s="1" t="n">
        <v>46011</v>
      </c>
      <c r="D12814" t="inlineStr">
        <is>
          <t>VÄSTRA GÖTALANDS LÄN</t>
        </is>
      </c>
      <c r="E12814" t="inlineStr">
        <is>
          <t>FÄRGELANDA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1992-2024</t>
        </is>
      </c>
      <c r="B12815" s="1" t="n">
        <v>45308</v>
      </c>
      <c r="C12815" s="1" t="n">
        <v>46011</v>
      </c>
      <c r="D12815" t="inlineStr">
        <is>
          <t>VÄSTRA GÖTALANDS LÄN</t>
        </is>
      </c>
      <c r="E12815" t="inlineStr">
        <is>
          <t>BORÅS</t>
        </is>
      </c>
      <c r="F12815" t="inlineStr">
        <is>
          <t>Kommuner</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2006-2024</t>
        </is>
      </c>
      <c r="B12816" s="1" t="n">
        <v>45308</v>
      </c>
      <c r="C12816" s="1" t="n">
        <v>46011</v>
      </c>
      <c r="D12816" t="inlineStr">
        <is>
          <t>VÄSTRA GÖTALANDS LÄN</t>
        </is>
      </c>
      <c r="E12816" t="inlineStr">
        <is>
          <t>BOLLEBYGD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7628-2024</t>
        </is>
      </c>
      <c r="B12817" s="1" t="n">
        <v>45348</v>
      </c>
      <c r="C12817" s="1" t="n">
        <v>46011</v>
      </c>
      <c r="D12817" t="inlineStr">
        <is>
          <t>VÄSTRA GÖTALANDS LÄN</t>
        </is>
      </c>
      <c r="E12817" t="inlineStr">
        <is>
          <t>MARK</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68400-2021</t>
        </is>
      </c>
      <c r="B12818" s="1" t="n">
        <v>44529</v>
      </c>
      <c r="C12818" s="1" t="n">
        <v>46011</v>
      </c>
      <c r="D12818" t="inlineStr">
        <is>
          <t>VÄSTRA GÖTALANDS LÄN</t>
        </is>
      </c>
      <c r="E12818" t="inlineStr">
        <is>
          <t>TROLLHÄTTAN</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14149-2023</t>
        </is>
      </c>
      <c r="B12819" s="1" t="n">
        <v>45009.47876157407</v>
      </c>
      <c r="C12819" s="1" t="n">
        <v>46011</v>
      </c>
      <c r="D12819" t="inlineStr">
        <is>
          <t>VÄSTRA GÖTALANDS LÄN</t>
        </is>
      </c>
      <c r="E12819" t="inlineStr">
        <is>
          <t>ULRICEHAMN</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7898-2024</t>
        </is>
      </c>
      <c r="B12820" s="1" t="n">
        <v>45350</v>
      </c>
      <c r="C12820" s="1" t="n">
        <v>46011</v>
      </c>
      <c r="D12820" t="inlineStr">
        <is>
          <t>VÄSTRA GÖTALANDS LÄN</t>
        </is>
      </c>
      <c r="E12820" t="inlineStr">
        <is>
          <t>BORÅS</t>
        </is>
      </c>
      <c r="G12820" t="n">
        <v>6.3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7900-2024</t>
        </is>
      </c>
      <c r="B12821" s="1" t="n">
        <v>45350.42491898148</v>
      </c>
      <c r="C12821" s="1" t="n">
        <v>46011</v>
      </c>
      <c r="D12821" t="inlineStr">
        <is>
          <t>VÄSTRA GÖTALANDS LÄN</t>
        </is>
      </c>
      <c r="E12821" t="inlineStr">
        <is>
          <t>TANUM</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7640-2025</t>
        </is>
      </c>
      <c r="B12822" s="1" t="n">
        <v>45705.77997685185</v>
      </c>
      <c r="C12822" s="1" t="n">
        <v>46011</v>
      </c>
      <c r="D12822" t="inlineStr">
        <is>
          <t>VÄSTRA GÖTALANDS LÄN</t>
        </is>
      </c>
      <c r="E12822" t="inlineStr">
        <is>
          <t>GULLSPÅNG</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7641-2025</t>
        </is>
      </c>
      <c r="B12823" s="1" t="n">
        <v>45705.78310185186</v>
      </c>
      <c r="C12823" s="1" t="n">
        <v>46011</v>
      </c>
      <c r="D12823" t="inlineStr">
        <is>
          <t>VÄSTRA GÖTALANDS LÄN</t>
        </is>
      </c>
      <c r="E12823" t="inlineStr">
        <is>
          <t>HERRLJUNGA</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55312-2022</t>
        </is>
      </c>
      <c r="B12824" s="1" t="n">
        <v>44882</v>
      </c>
      <c r="C12824" s="1" t="n">
        <v>46011</v>
      </c>
      <c r="D12824" t="inlineStr">
        <is>
          <t>VÄSTRA GÖTALANDS LÄN</t>
        </is>
      </c>
      <c r="E12824" t="inlineStr">
        <is>
          <t>FALKÖPING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3418-2023</t>
        </is>
      </c>
      <c r="B12825" s="1" t="n">
        <v>44949.56182870371</v>
      </c>
      <c r="C12825" s="1" t="n">
        <v>46011</v>
      </c>
      <c r="D12825" t="inlineStr">
        <is>
          <t>VÄSTRA GÖTALANDS LÄN</t>
        </is>
      </c>
      <c r="E12825" t="inlineStr">
        <is>
          <t>ALE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12157-2022</t>
        </is>
      </c>
      <c r="B12826" s="1" t="n">
        <v>44636</v>
      </c>
      <c r="C12826" s="1" t="n">
        <v>46011</v>
      </c>
      <c r="D12826" t="inlineStr">
        <is>
          <t>VÄSTRA GÖTALANDS LÄN</t>
        </is>
      </c>
      <c r="E12826" t="inlineStr">
        <is>
          <t>MELLERUD</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50523-2022</t>
        </is>
      </c>
      <c r="B12827" s="1" t="n">
        <v>44866</v>
      </c>
      <c r="C12827" s="1" t="n">
        <v>46011</v>
      </c>
      <c r="D12827" t="inlineStr">
        <is>
          <t>VÄSTRA GÖTALANDS LÄN</t>
        </is>
      </c>
      <c r="E12827" t="inlineStr">
        <is>
          <t>TRANEMO</t>
        </is>
      </c>
      <c r="F12827" t="inlineStr">
        <is>
          <t>Sveaskog</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47378-2021</t>
        </is>
      </c>
      <c r="B12828" s="1" t="n">
        <v>44447</v>
      </c>
      <c r="C12828" s="1" t="n">
        <v>46011</v>
      </c>
      <c r="D12828" t="inlineStr">
        <is>
          <t>VÄSTRA GÖTALANDS LÄN</t>
        </is>
      </c>
      <c r="E12828" t="inlineStr">
        <is>
          <t>MUNKEDAL</t>
        </is>
      </c>
      <c r="F12828" t="inlineStr">
        <is>
          <t>Övriga Aktiebolag</t>
        </is>
      </c>
      <c r="G12828" t="n">
        <v>21.7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12386-2024</t>
        </is>
      </c>
      <c r="B12829" s="1" t="n">
        <v>45379.33655092592</v>
      </c>
      <c r="C12829" s="1" t="n">
        <v>46011</v>
      </c>
      <c r="D12829" t="inlineStr">
        <is>
          <t>VÄSTRA GÖTALANDS LÄN</t>
        </is>
      </c>
      <c r="E12829" t="inlineStr">
        <is>
          <t>BORÅS</t>
        </is>
      </c>
      <c r="F12829" t="inlineStr">
        <is>
          <t>Sveaskog</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33925-2021</t>
        </is>
      </c>
      <c r="B12830" s="1" t="n">
        <v>44378.73386574074</v>
      </c>
      <c r="C12830" s="1" t="n">
        <v>46011</v>
      </c>
      <c r="D12830" t="inlineStr">
        <is>
          <t>VÄSTRA GÖTALANDS LÄN</t>
        </is>
      </c>
      <c r="E12830" t="inlineStr">
        <is>
          <t>TANUM</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13185-2024</t>
        </is>
      </c>
      <c r="B12831" s="1" t="n">
        <v>45386.44940972222</v>
      </c>
      <c r="C12831" s="1" t="n">
        <v>46011</v>
      </c>
      <c r="D12831" t="inlineStr">
        <is>
          <t>VÄSTRA GÖTALANDS LÄN</t>
        </is>
      </c>
      <c r="E12831" t="inlineStr">
        <is>
          <t>BENGTSFORS</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5770-2023</t>
        </is>
      </c>
      <c r="B12832" s="1" t="n">
        <v>44963.37232638889</v>
      </c>
      <c r="C12832" s="1" t="n">
        <v>46011</v>
      </c>
      <c r="D12832" t="inlineStr">
        <is>
          <t>VÄSTRA GÖTALANDS LÄN</t>
        </is>
      </c>
      <c r="E12832" t="inlineStr">
        <is>
          <t>HJO</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663-2021</t>
        </is>
      </c>
      <c r="B12833" s="1" t="n">
        <v>44203</v>
      </c>
      <c r="C12833" s="1" t="n">
        <v>46011</v>
      </c>
      <c r="D12833" t="inlineStr">
        <is>
          <t>VÄSTRA GÖTALANDS LÄN</t>
        </is>
      </c>
      <c r="E12833" t="inlineStr">
        <is>
          <t>GRÄSTORP</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20680-2022</t>
        </is>
      </c>
      <c r="B12834" s="1" t="n">
        <v>44700.6828125</v>
      </c>
      <c r="C12834" s="1" t="n">
        <v>46011</v>
      </c>
      <c r="D12834" t="inlineStr">
        <is>
          <t>VÄSTRA GÖTALANDS LÄN</t>
        </is>
      </c>
      <c r="E12834" t="inlineStr">
        <is>
          <t>LERUM</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44133-2021</t>
        </is>
      </c>
      <c r="B12835" s="1" t="n">
        <v>44434</v>
      </c>
      <c r="C12835" s="1" t="n">
        <v>46011</v>
      </c>
      <c r="D12835" t="inlineStr">
        <is>
          <t>VÄSTRA GÖTALANDS LÄN</t>
        </is>
      </c>
      <c r="E12835" t="inlineStr">
        <is>
          <t>TRANEMO</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17072-2022</t>
        </is>
      </c>
      <c r="B12836" s="1" t="n">
        <v>44677.32255787037</v>
      </c>
      <c r="C12836" s="1" t="n">
        <v>46011</v>
      </c>
      <c r="D12836" t="inlineStr">
        <is>
          <t>VÄSTRA GÖTALANDS LÄN</t>
        </is>
      </c>
      <c r="E12836" t="inlineStr">
        <is>
          <t>ESSUNGA</t>
        </is>
      </c>
      <c r="F12836" t="inlineStr">
        <is>
          <t>Allmännings- och besparingsskogar</t>
        </is>
      </c>
      <c r="G12836" t="n">
        <v>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58265-2022</t>
        </is>
      </c>
      <c r="B12837" s="1" t="n">
        <v>44901.46361111111</v>
      </c>
      <c r="C12837" s="1" t="n">
        <v>46011</v>
      </c>
      <c r="D12837" t="inlineStr">
        <is>
          <t>VÄSTRA GÖTALANDS LÄN</t>
        </is>
      </c>
      <c r="E12837" t="inlineStr">
        <is>
          <t>BENGTSFORS</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3097-2024</t>
        </is>
      </c>
      <c r="B12838" s="1" t="n">
        <v>45316.46585648148</v>
      </c>
      <c r="C12838" s="1" t="n">
        <v>46011</v>
      </c>
      <c r="D12838" t="inlineStr">
        <is>
          <t>VÄSTRA GÖTALANDS LÄN</t>
        </is>
      </c>
      <c r="E12838" t="inlineStr">
        <is>
          <t>ALINGSÅS</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26017-2023</t>
        </is>
      </c>
      <c r="B12839" s="1" t="n">
        <v>45090.95387731482</v>
      </c>
      <c r="C12839" s="1" t="n">
        <v>46011</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1510-2025</t>
        </is>
      </c>
      <c r="B12840" s="1" t="n">
        <v>45670.44511574074</v>
      </c>
      <c r="C12840" s="1" t="n">
        <v>46011</v>
      </c>
      <c r="D12840" t="inlineStr">
        <is>
          <t>VÄSTRA GÖTALANDS LÄN</t>
        </is>
      </c>
      <c r="E12840" t="inlineStr">
        <is>
          <t>BORÅS</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70979-2021</t>
        </is>
      </c>
      <c r="B12841" s="1" t="n">
        <v>44538.58373842593</v>
      </c>
      <c r="C12841" s="1" t="n">
        <v>46011</v>
      </c>
      <c r="D12841" t="inlineStr">
        <is>
          <t>VÄSTRA GÖTALANDS LÄN</t>
        </is>
      </c>
      <c r="E12841" t="inlineStr">
        <is>
          <t>TANUM</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134-2022</t>
        </is>
      </c>
      <c r="B12842" s="1" t="n">
        <v>44564</v>
      </c>
      <c r="C12842" s="1" t="n">
        <v>46011</v>
      </c>
      <c r="D12842" t="inlineStr">
        <is>
          <t>VÄSTRA GÖTALANDS LÄN</t>
        </is>
      </c>
      <c r="E12842" t="inlineStr">
        <is>
          <t>SVENLJUNGA</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65226-2021</t>
        </is>
      </c>
      <c r="B12843" s="1" t="n">
        <v>44515</v>
      </c>
      <c r="C12843" s="1" t="n">
        <v>46011</v>
      </c>
      <c r="D12843" t="inlineStr">
        <is>
          <t>VÄSTRA GÖTALANDS LÄN</t>
        </is>
      </c>
      <c r="E12843" t="inlineStr">
        <is>
          <t>ALE</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51612-2023</t>
        </is>
      </c>
      <c r="B12844" s="1" t="n">
        <v>45222.51053240741</v>
      </c>
      <c r="C12844" s="1" t="n">
        <v>46011</v>
      </c>
      <c r="D12844" t="inlineStr">
        <is>
          <t>VÄSTRA GÖTALANDS LÄN</t>
        </is>
      </c>
      <c r="E12844" t="inlineStr">
        <is>
          <t>TRANEMO</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52297-2024</t>
        </is>
      </c>
      <c r="B12845" s="1" t="n">
        <v>45608.73481481482</v>
      </c>
      <c r="C12845" s="1" t="n">
        <v>46011</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52302-2024</t>
        </is>
      </c>
      <c r="B12846" s="1" t="n">
        <v>45608.74045138889</v>
      </c>
      <c r="C12846" s="1" t="n">
        <v>46011</v>
      </c>
      <c r="D12846" t="inlineStr">
        <is>
          <t>VÄSTRA GÖTALANDS LÄN</t>
        </is>
      </c>
      <c r="E12846" t="inlineStr">
        <is>
          <t>ALINGSÅS</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2635-2022</t>
        </is>
      </c>
      <c r="B12847" s="1" t="n">
        <v>44580.49585648148</v>
      </c>
      <c r="C12847" s="1" t="n">
        <v>46011</v>
      </c>
      <c r="D12847" t="inlineStr">
        <is>
          <t>VÄSTRA GÖTALANDS LÄN</t>
        </is>
      </c>
      <c r="E12847" t="inlineStr">
        <is>
          <t>MUNKEDAL</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41923-2024</t>
        </is>
      </c>
      <c r="B12848" s="1" t="n">
        <v>45561</v>
      </c>
      <c r="C12848" s="1" t="n">
        <v>46011</v>
      </c>
      <c r="D12848" t="inlineStr">
        <is>
          <t>VÄSTRA GÖTALANDS LÄN</t>
        </is>
      </c>
      <c r="E12848" t="inlineStr">
        <is>
          <t>KARLSBORG</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6872-2022</t>
        </is>
      </c>
      <c r="B12849" s="1" t="n">
        <v>44602.75136574074</v>
      </c>
      <c r="C12849" s="1" t="n">
        <v>46011</v>
      </c>
      <c r="D12849" t="inlineStr">
        <is>
          <t>VÄSTRA GÖTALANDS LÄN</t>
        </is>
      </c>
      <c r="E12849" t="inlineStr">
        <is>
          <t>TIBRO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9844-2024</t>
        </is>
      </c>
      <c r="B12850" s="1" t="n">
        <v>45363.34048611111</v>
      </c>
      <c r="C12850" s="1" t="n">
        <v>46011</v>
      </c>
      <c r="D12850" t="inlineStr">
        <is>
          <t>VÄSTRA GÖTALANDS LÄN</t>
        </is>
      </c>
      <c r="E12850" t="inlineStr">
        <is>
          <t>SVENLJUNGA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9872-2024</t>
        </is>
      </c>
      <c r="B12851" s="1" t="n">
        <v>45363.44333333334</v>
      </c>
      <c r="C12851" s="1" t="n">
        <v>46011</v>
      </c>
      <c r="D12851" t="inlineStr">
        <is>
          <t>VÄSTRA GÖTALANDS LÄN</t>
        </is>
      </c>
      <c r="E12851" t="inlineStr">
        <is>
          <t>TRANEMO</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9898-2024</t>
        </is>
      </c>
      <c r="B12852" s="1" t="n">
        <v>45363</v>
      </c>
      <c r="C12852" s="1" t="n">
        <v>46011</v>
      </c>
      <c r="D12852" t="inlineStr">
        <is>
          <t>VÄSTRA GÖTALANDS LÄN</t>
        </is>
      </c>
      <c r="E12852" t="inlineStr">
        <is>
          <t>VÅRGÅRDA</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13044-2023</t>
        </is>
      </c>
      <c r="B12853" s="1" t="n">
        <v>45002.36559027778</v>
      </c>
      <c r="C12853" s="1" t="n">
        <v>46011</v>
      </c>
      <c r="D12853" t="inlineStr">
        <is>
          <t>VÄSTRA GÖTALANDS LÄN</t>
        </is>
      </c>
      <c r="E12853" t="inlineStr">
        <is>
          <t>TANUM</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64997-2023</t>
        </is>
      </c>
      <c r="B12854" s="1" t="n">
        <v>45286</v>
      </c>
      <c r="C12854" s="1" t="n">
        <v>46011</v>
      </c>
      <c r="D12854" t="inlineStr">
        <is>
          <t>VÄSTRA GÖTALANDS LÄN</t>
        </is>
      </c>
      <c r="E12854" t="inlineStr">
        <is>
          <t>TANUM</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12055-2022</t>
        </is>
      </c>
      <c r="B12855" s="1" t="n">
        <v>44636</v>
      </c>
      <c r="C12855" s="1" t="n">
        <v>46011</v>
      </c>
      <c r="D12855" t="inlineStr">
        <is>
          <t>VÄSTRA GÖTALANDS LÄN</t>
        </is>
      </c>
      <c r="E12855" t="inlineStr">
        <is>
          <t>ALE</t>
        </is>
      </c>
      <c r="G12855" t="n">
        <v>0.2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60376-2021</t>
        </is>
      </c>
      <c r="B12856" s="1" t="n">
        <v>44496.35680555556</v>
      </c>
      <c r="C12856" s="1" t="n">
        <v>46011</v>
      </c>
      <c r="D12856" t="inlineStr">
        <is>
          <t>VÄSTRA GÖTALANDS LÄN</t>
        </is>
      </c>
      <c r="E12856" t="inlineStr">
        <is>
          <t>MARIESTAD</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32136-2024</t>
        </is>
      </c>
      <c r="B12857" s="1" t="n">
        <v>45511.4987962963</v>
      </c>
      <c r="C12857" s="1" t="n">
        <v>46011</v>
      </c>
      <c r="D12857" t="inlineStr">
        <is>
          <t>VÄSTRA GÖTALANDS LÄN</t>
        </is>
      </c>
      <c r="E12857" t="inlineStr">
        <is>
          <t>BORÅS</t>
        </is>
      </c>
      <c r="F12857" t="inlineStr">
        <is>
          <t>Kyrkan</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12853-2023</t>
        </is>
      </c>
      <c r="B12858" s="1" t="n">
        <v>45001</v>
      </c>
      <c r="C12858" s="1" t="n">
        <v>46011</v>
      </c>
      <c r="D12858" t="inlineStr">
        <is>
          <t>VÄSTRA GÖTALANDS LÄN</t>
        </is>
      </c>
      <c r="E12858" t="inlineStr">
        <is>
          <t>VÄNERSBORG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5465-2024</t>
        </is>
      </c>
      <c r="B12859" s="1" t="n">
        <v>45332.54150462963</v>
      </c>
      <c r="C12859" s="1" t="n">
        <v>46011</v>
      </c>
      <c r="D12859" t="inlineStr">
        <is>
          <t>VÄSTRA GÖTALANDS LÄN</t>
        </is>
      </c>
      <c r="E12859" t="inlineStr">
        <is>
          <t>MARK</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13810-2022</t>
        </is>
      </c>
      <c r="B12860" s="1" t="n">
        <v>44649</v>
      </c>
      <c r="C12860" s="1" t="n">
        <v>46011</v>
      </c>
      <c r="D12860" t="inlineStr">
        <is>
          <t>VÄSTRA GÖTALANDS LÄN</t>
        </is>
      </c>
      <c r="E12860" t="inlineStr">
        <is>
          <t>BENGTSFORS</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16473-2022</t>
        </is>
      </c>
      <c r="B12861" s="1" t="n">
        <v>44671</v>
      </c>
      <c r="C12861" s="1" t="n">
        <v>46011</v>
      </c>
      <c r="D12861" t="inlineStr">
        <is>
          <t>VÄSTRA GÖTALANDS LÄN</t>
        </is>
      </c>
      <c r="E12861" t="inlineStr">
        <is>
          <t>LILLA EDET</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54875-2021</t>
        </is>
      </c>
      <c r="B12862" s="1" t="n">
        <v>44474.35072916667</v>
      </c>
      <c r="C12862" s="1" t="n">
        <v>46011</v>
      </c>
      <c r="D12862" t="inlineStr">
        <is>
          <t>VÄSTRA GÖTALANDS LÄN</t>
        </is>
      </c>
      <c r="E12862" t="inlineStr">
        <is>
          <t>HERRLJUNGA</t>
        </is>
      </c>
      <c r="G12862" t="n">
        <v>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4521-2021</t>
        </is>
      </c>
      <c r="B12863" s="1" t="n">
        <v>44224</v>
      </c>
      <c r="C12863" s="1" t="n">
        <v>46011</v>
      </c>
      <c r="D12863" t="inlineStr">
        <is>
          <t>VÄSTRA GÖTALANDS LÄN</t>
        </is>
      </c>
      <c r="E12863" t="inlineStr">
        <is>
          <t>HJO</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640-2021</t>
        </is>
      </c>
      <c r="B12864" s="1" t="n">
        <v>44201</v>
      </c>
      <c r="C12864" s="1" t="n">
        <v>46011</v>
      </c>
      <c r="D12864" t="inlineStr">
        <is>
          <t>VÄSTRA GÖTALANDS LÄN</t>
        </is>
      </c>
      <c r="E12864" t="inlineStr">
        <is>
          <t>SKÖVDE</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67133-2021</t>
        </is>
      </c>
      <c r="B12865" s="1" t="n">
        <v>44523.37383101852</v>
      </c>
      <c r="C12865" s="1" t="n">
        <v>46011</v>
      </c>
      <c r="D12865" t="inlineStr">
        <is>
          <t>VÄSTRA GÖTALANDS LÄN</t>
        </is>
      </c>
      <c r="E12865" t="inlineStr">
        <is>
          <t>MARIESTAD</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20898-2021</t>
        </is>
      </c>
      <c r="B12866" s="1" t="n">
        <v>44319.41962962963</v>
      </c>
      <c r="C12866" s="1" t="n">
        <v>46011</v>
      </c>
      <c r="D12866" t="inlineStr">
        <is>
          <t>VÄSTRA GÖTALANDS LÄN</t>
        </is>
      </c>
      <c r="E12866" t="inlineStr">
        <is>
          <t>ORUST</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21140-2023</t>
        </is>
      </c>
      <c r="B12867" s="1" t="n">
        <v>45062.36817129629</v>
      </c>
      <c r="C12867" s="1" t="n">
        <v>46011</v>
      </c>
      <c r="D12867" t="inlineStr">
        <is>
          <t>VÄSTRA GÖTALANDS LÄN</t>
        </is>
      </c>
      <c r="E12867" t="inlineStr">
        <is>
          <t>VÄNERSBORG</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21141-2023</t>
        </is>
      </c>
      <c r="B12868" s="1" t="n">
        <v>45062</v>
      </c>
      <c r="C12868" s="1" t="n">
        <v>46011</v>
      </c>
      <c r="D12868" t="inlineStr">
        <is>
          <t>VÄSTRA GÖTALANDS LÄN</t>
        </is>
      </c>
      <c r="E12868" t="inlineStr">
        <is>
          <t>TJÖRN</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29822-2023</t>
        </is>
      </c>
      <c r="B12869" s="1" t="n">
        <v>45107.56379629629</v>
      </c>
      <c r="C12869" s="1" t="n">
        <v>46011</v>
      </c>
      <c r="D12869" t="inlineStr">
        <is>
          <t>VÄSTRA GÖTALANDS LÄN</t>
        </is>
      </c>
      <c r="E12869" t="inlineStr">
        <is>
          <t>TIBRO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24130-2023</t>
        </is>
      </c>
      <c r="B12870" s="1" t="n">
        <v>45079</v>
      </c>
      <c r="C12870" s="1" t="n">
        <v>46011</v>
      </c>
      <c r="D12870" t="inlineStr">
        <is>
          <t>VÄSTRA GÖTALANDS LÄN</t>
        </is>
      </c>
      <c r="E12870" t="inlineStr">
        <is>
          <t>TRANEMO</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27944-2021</t>
        </is>
      </c>
      <c r="B12871" s="1" t="n">
        <v>44354.87269675926</v>
      </c>
      <c r="C12871" s="1" t="n">
        <v>46011</v>
      </c>
      <c r="D12871" t="inlineStr">
        <is>
          <t>VÄSTRA GÖTALANDS LÄN</t>
        </is>
      </c>
      <c r="E12871" t="inlineStr">
        <is>
          <t>BORÅS</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57167-2022</t>
        </is>
      </c>
      <c r="B12872" s="1" t="n">
        <v>44895.60074074074</v>
      </c>
      <c r="C12872" s="1" t="n">
        <v>46011</v>
      </c>
      <c r="D12872" t="inlineStr">
        <is>
          <t>VÄSTRA GÖTALANDS LÄN</t>
        </is>
      </c>
      <c r="E12872" t="inlineStr">
        <is>
          <t>VÅRGÅRDA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56782-2022</t>
        </is>
      </c>
      <c r="B12873" s="1" t="n">
        <v>44894.39475694444</v>
      </c>
      <c r="C12873" s="1" t="n">
        <v>46011</v>
      </c>
      <c r="D12873" t="inlineStr">
        <is>
          <t>VÄSTRA GÖTALANDS LÄN</t>
        </is>
      </c>
      <c r="E12873" t="inlineStr">
        <is>
          <t>KUNGÄLV</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37977-2024</t>
        </is>
      </c>
      <c r="B12874" s="1" t="n">
        <v>45544.57728009259</v>
      </c>
      <c r="C12874" s="1" t="n">
        <v>46011</v>
      </c>
      <c r="D12874" t="inlineStr">
        <is>
          <t>VÄSTRA GÖTALANDS LÄN</t>
        </is>
      </c>
      <c r="E12874" t="inlineStr">
        <is>
          <t>TANUM</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9012-2023</t>
        </is>
      </c>
      <c r="B12875" s="1" t="n">
        <v>44979.59778935185</v>
      </c>
      <c r="C12875" s="1" t="n">
        <v>46011</v>
      </c>
      <c r="D12875" t="inlineStr">
        <is>
          <t>VÄSTRA GÖTALANDS LÄN</t>
        </is>
      </c>
      <c r="E12875" t="inlineStr">
        <is>
          <t>VARA</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15559-2023</t>
        </is>
      </c>
      <c r="B12876" s="1" t="n">
        <v>45019</v>
      </c>
      <c r="C12876" s="1" t="n">
        <v>46011</v>
      </c>
      <c r="D12876" t="inlineStr">
        <is>
          <t>VÄSTRA GÖTALANDS LÄN</t>
        </is>
      </c>
      <c r="E12876" t="inlineStr">
        <is>
          <t>STRÖMSTAD</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20037-2025</t>
        </is>
      </c>
      <c r="B12877" s="1" t="n">
        <v>45772</v>
      </c>
      <c r="C12877" s="1" t="n">
        <v>46011</v>
      </c>
      <c r="D12877" t="inlineStr">
        <is>
          <t>VÄSTRA GÖTALANDS LÄN</t>
        </is>
      </c>
      <c r="E12877" t="inlineStr">
        <is>
          <t>LILLA EDET</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61671-2022</t>
        </is>
      </c>
      <c r="B12878" s="1" t="n">
        <v>44917.3327662037</v>
      </c>
      <c r="C12878" s="1" t="n">
        <v>46011</v>
      </c>
      <c r="D12878" t="inlineStr">
        <is>
          <t>VÄSTRA GÖTALANDS LÄN</t>
        </is>
      </c>
      <c r="E12878" t="inlineStr">
        <is>
          <t>BOLLEBYGD</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34792-2023</t>
        </is>
      </c>
      <c r="B12879" s="1" t="n">
        <v>45141</v>
      </c>
      <c r="C12879" s="1" t="n">
        <v>46011</v>
      </c>
      <c r="D12879" t="inlineStr">
        <is>
          <t>VÄSTRA GÖTALANDS LÄN</t>
        </is>
      </c>
      <c r="E12879" t="inlineStr">
        <is>
          <t>UDDEVALLA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46136-2021</t>
        </is>
      </c>
      <c r="B12880" s="1" t="n">
        <v>44442.39613425926</v>
      </c>
      <c r="C12880" s="1" t="n">
        <v>46011</v>
      </c>
      <c r="D12880" t="inlineStr">
        <is>
          <t>VÄSTRA GÖTALANDS LÄN</t>
        </is>
      </c>
      <c r="E12880" t="inlineStr">
        <is>
          <t>ÅMÅL</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50298-2024</t>
        </is>
      </c>
      <c r="B12881" s="1" t="n">
        <v>45600.62725694444</v>
      </c>
      <c r="C12881" s="1" t="n">
        <v>46011</v>
      </c>
      <c r="D12881" t="inlineStr">
        <is>
          <t>VÄSTRA GÖTALANDS LÄN</t>
        </is>
      </c>
      <c r="E12881" t="inlineStr">
        <is>
          <t>DALS-ED</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50303-2024</t>
        </is>
      </c>
      <c r="B12882" s="1" t="n">
        <v>45600.63454861111</v>
      </c>
      <c r="C12882" s="1" t="n">
        <v>46011</v>
      </c>
      <c r="D12882" t="inlineStr">
        <is>
          <t>VÄSTRA GÖTALANDS LÄN</t>
        </is>
      </c>
      <c r="E12882" t="inlineStr">
        <is>
          <t>DALS-ED</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49408-2024</t>
        </is>
      </c>
      <c r="B12883" s="1" t="n">
        <v>45595.68054398148</v>
      </c>
      <c r="C12883" s="1" t="n">
        <v>46011</v>
      </c>
      <c r="D12883" t="inlineStr">
        <is>
          <t>VÄSTRA GÖTALANDS LÄN</t>
        </is>
      </c>
      <c r="E12883" t="inlineStr">
        <is>
          <t>MARK</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6162-2023</t>
        </is>
      </c>
      <c r="B12884" s="1" t="n">
        <v>44964.66091435185</v>
      </c>
      <c r="C12884" s="1" t="n">
        <v>46011</v>
      </c>
      <c r="D12884" t="inlineStr">
        <is>
          <t>VÄSTRA GÖTALANDS LÄN</t>
        </is>
      </c>
      <c r="E12884" t="inlineStr">
        <is>
          <t>TÖREBODA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6176-2023</t>
        </is>
      </c>
      <c r="B12885" s="1" t="n">
        <v>44964.69994212963</v>
      </c>
      <c r="C12885" s="1" t="n">
        <v>46011</v>
      </c>
      <c r="D12885" t="inlineStr">
        <is>
          <t>VÄSTRA GÖTALANDS LÄN</t>
        </is>
      </c>
      <c r="E12885" t="inlineStr">
        <is>
          <t>MARIESTAD</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51763-2021</t>
        </is>
      </c>
      <c r="B12886" s="1" t="n">
        <v>44462</v>
      </c>
      <c r="C12886" s="1" t="n">
        <v>46011</v>
      </c>
      <c r="D12886" t="inlineStr">
        <is>
          <t>VÄSTRA GÖTALANDS LÄN</t>
        </is>
      </c>
      <c r="E12886" t="inlineStr">
        <is>
          <t>TRANEMO</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47777-2023</t>
        </is>
      </c>
      <c r="B12887" s="1" t="n">
        <v>45203</v>
      </c>
      <c r="C12887" s="1" t="n">
        <v>46011</v>
      </c>
      <c r="D12887" t="inlineStr">
        <is>
          <t>VÄSTRA GÖTALANDS LÄN</t>
        </is>
      </c>
      <c r="E12887" t="inlineStr">
        <is>
          <t>MARIESTAD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30954-2022</t>
        </is>
      </c>
      <c r="B12888" s="1" t="n">
        <v>44768</v>
      </c>
      <c r="C12888" s="1" t="n">
        <v>46011</v>
      </c>
      <c r="D12888" t="inlineStr">
        <is>
          <t>VÄSTRA GÖTALANDS LÄN</t>
        </is>
      </c>
      <c r="E12888" t="inlineStr">
        <is>
          <t>ULRICEHAMN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9599-2024</t>
        </is>
      </c>
      <c r="B12889" s="1" t="n">
        <v>45361</v>
      </c>
      <c r="C12889" s="1" t="n">
        <v>46011</v>
      </c>
      <c r="D12889" t="inlineStr">
        <is>
          <t>VÄSTRA GÖTALANDS LÄN</t>
        </is>
      </c>
      <c r="E12889" t="inlineStr">
        <is>
          <t>ULRICEHAMN</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11900-2023</t>
        </is>
      </c>
      <c r="B12890" s="1" t="n">
        <v>44995.44972222222</v>
      </c>
      <c r="C12890" s="1" t="n">
        <v>46011</v>
      </c>
      <c r="D12890" t="inlineStr">
        <is>
          <t>VÄSTRA GÖTALANDS LÄN</t>
        </is>
      </c>
      <c r="E12890" t="inlineStr">
        <is>
          <t>SKARA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19495-2023</t>
        </is>
      </c>
      <c r="B12891" s="1" t="n">
        <v>45050.46230324074</v>
      </c>
      <c r="C12891" s="1" t="n">
        <v>46011</v>
      </c>
      <c r="D12891" t="inlineStr">
        <is>
          <t>VÄSTRA GÖTALANDS LÄN</t>
        </is>
      </c>
      <c r="E12891" t="inlineStr">
        <is>
          <t>TRANEMO</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11916-2023</t>
        </is>
      </c>
      <c r="B12892" s="1" t="n">
        <v>44995.46620370371</v>
      </c>
      <c r="C12892" s="1" t="n">
        <v>46011</v>
      </c>
      <c r="D12892" t="inlineStr">
        <is>
          <t>VÄSTRA GÖTALANDS LÄN</t>
        </is>
      </c>
      <c r="E12892" t="inlineStr">
        <is>
          <t>ÅMÅL</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9413-2024</t>
        </is>
      </c>
      <c r="B12893" s="1" t="n">
        <v>45359.44399305555</v>
      </c>
      <c r="C12893" s="1" t="n">
        <v>46011</v>
      </c>
      <c r="D12893" t="inlineStr">
        <is>
          <t>VÄSTRA GÖTALANDS LÄN</t>
        </is>
      </c>
      <c r="E12893" t="inlineStr">
        <is>
          <t>VARA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9450-2024</t>
        </is>
      </c>
      <c r="B12894" s="1" t="n">
        <v>45358</v>
      </c>
      <c r="C12894" s="1" t="n">
        <v>46011</v>
      </c>
      <c r="D12894" t="inlineStr">
        <is>
          <t>VÄSTRA GÖTALANDS LÄN</t>
        </is>
      </c>
      <c r="E12894" t="inlineStr">
        <is>
          <t>VARA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9456-2024</t>
        </is>
      </c>
      <c r="B12895" s="1" t="n">
        <v>45359.5290625</v>
      </c>
      <c r="C12895" s="1" t="n">
        <v>46011</v>
      </c>
      <c r="D12895" t="inlineStr">
        <is>
          <t>VÄSTRA GÖTALANDS LÄN</t>
        </is>
      </c>
      <c r="E12895" t="inlineStr">
        <is>
          <t>MELLERUD</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18468-2024</t>
        </is>
      </c>
      <c r="B12896" s="1" t="n">
        <v>45425.49927083333</v>
      </c>
      <c r="C12896" s="1" t="n">
        <v>46011</v>
      </c>
      <c r="D12896" t="inlineStr">
        <is>
          <t>VÄSTRA GÖTALANDS LÄN</t>
        </is>
      </c>
      <c r="E12896" t="inlineStr">
        <is>
          <t>TRANEMO</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9481-2023</t>
        </is>
      </c>
      <c r="B12897" s="1" t="n">
        <v>44977</v>
      </c>
      <c r="C12897" s="1" t="n">
        <v>46011</v>
      </c>
      <c r="D12897" t="inlineStr">
        <is>
          <t>VÄSTRA GÖTALANDS LÄN</t>
        </is>
      </c>
      <c r="E12897" t="inlineStr">
        <is>
          <t>GULLSPÅNG</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9483-2023</t>
        </is>
      </c>
      <c r="B12898" s="1" t="n">
        <v>44977</v>
      </c>
      <c r="C12898" s="1" t="n">
        <v>46011</v>
      </c>
      <c r="D12898" t="inlineStr">
        <is>
          <t>VÄSTRA GÖTALANDS LÄN</t>
        </is>
      </c>
      <c r="E12898" t="inlineStr">
        <is>
          <t>GULLSPÅNG</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1113-2022</t>
        </is>
      </c>
      <c r="B12899" s="1" t="n">
        <v>44572</v>
      </c>
      <c r="C12899" s="1" t="n">
        <v>46011</v>
      </c>
      <c r="D12899" t="inlineStr">
        <is>
          <t>VÄSTRA GÖTALANDS LÄN</t>
        </is>
      </c>
      <c r="E12899" t="inlineStr">
        <is>
          <t>MARIESTAD</t>
        </is>
      </c>
      <c r="F12899" t="inlineStr">
        <is>
          <t>Naturvårdsverket</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25925-2024</t>
        </is>
      </c>
      <c r="B12900" s="1" t="n">
        <v>45467.6122337963</v>
      </c>
      <c r="C12900" s="1" t="n">
        <v>46011</v>
      </c>
      <c r="D12900" t="inlineStr">
        <is>
          <t>VÄSTRA GÖTALANDS LÄN</t>
        </is>
      </c>
      <c r="E12900" t="inlineStr">
        <is>
          <t>ORUST</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42588-2021</t>
        </is>
      </c>
      <c r="B12901" s="1" t="n">
        <v>44428</v>
      </c>
      <c r="C12901" s="1" t="n">
        <v>46011</v>
      </c>
      <c r="D12901" t="inlineStr">
        <is>
          <t>VÄSTRA GÖTALANDS LÄN</t>
        </is>
      </c>
      <c r="E12901" t="inlineStr">
        <is>
          <t>DALS-ED</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59315-2024</t>
        </is>
      </c>
      <c r="B12902" s="1" t="n">
        <v>45637.68884259259</v>
      </c>
      <c r="C12902" s="1" t="n">
        <v>46011</v>
      </c>
      <c r="D12902" t="inlineStr">
        <is>
          <t>VÄSTRA GÖTALANDS LÄN</t>
        </is>
      </c>
      <c r="E12902" t="inlineStr">
        <is>
          <t>TÖREBODA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38841-2022</t>
        </is>
      </c>
      <c r="B12903" s="1" t="n">
        <v>44816</v>
      </c>
      <c r="C12903" s="1" t="n">
        <v>46011</v>
      </c>
      <c r="D12903" t="inlineStr">
        <is>
          <t>VÄSTRA GÖTALANDS LÄN</t>
        </is>
      </c>
      <c r="E12903" t="inlineStr">
        <is>
          <t>TÖREBODA</t>
        </is>
      </c>
      <c r="F12903" t="inlineStr">
        <is>
          <t>Kyrkan</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9983-2022</t>
        </is>
      </c>
      <c r="B12904" s="1" t="n">
        <v>44621.43550925926</v>
      </c>
      <c r="C12904" s="1" t="n">
        <v>46011</v>
      </c>
      <c r="D12904" t="inlineStr">
        <is>
          <t>VÄSTRA GÖTALANDS LÄN</t>
        </is>
      </c>
      <c r="E12904" t="inlineStr">
        <is>
          <t>STRÖMSTAD</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14873-2021</t>
        </is>
      </c>
      <c r="B12905" s="1" t="n">
        <v>44281</v>
      </c>
      <c r="C12905" s="1" t="n">
        <v>46011</v>
      </c>
      <c r="D12905" t="inlineStr">
        <is>
          <t>VÄSTRA GÖTALANDS LÄN</t>
        </is>
      </c>
      <c r="E12905" t="inlineStr">
        <is>
          <t>MARK</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50976-2024</t>
        </is>
      </c>
      <c r="B12906" s="1" t="n">
        <v>45603.35425925926</v>
      </c>
      <c r="C12906" s="1" t="n">
        <v>46011</v>
      </c>
      <c r="D12906" t="inlineStr">
        <is>
          <t>VÄSTRA GÖTALANDS LÄN</t>
        </is>
      </c>
      <c r="E12906" t="inlineStr">
        <is>
          <t>FALKÖPING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6113-2021</t>
        </is>
      </c>
      <c r="B12907" s="1" t="n">
        <v>44232</v>
      </c>
      <c r="C12907" s="1" t="n">
        <v>46011</v>
      </c>
      <c r="D12907" t="inlineStr">
        <is>
          <t>VÄSTRA GÖTALANDS LÄN</t>
        </is>
      </c>
      <c r="E12907" t="inlineStr">
        <is>
          <t>DALS-ED</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47530-2024</t>
        </is>
      </c>
      <c r="B12908" s="1" t="n">
        <v>45587.64105324074</v>
      </c>
      <c r="C12908" s="1" t="n">
        <v>46011</v>
      </c>
      <c r="D12908" t="inlineStr">
        <is>
          <t>VÄSTRA GÖTALANDS LÄN</t>
        </is>
      </c>
      <c r="E12908" t="inlineStr">
        <is>
          <t>FÄRGELANDA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6193-2021</t>
        </is>
      </c>
      <c r="B12909" s="1" t="n">
        <v>44234</v>
      </c>
      <c r="C12909" s="1" t="n">
        <v>46011</v>
      </c>
      <c r="D12909" t="inlineStr">
        <is>
          <t>VÄSTRA GÖTALANDS LÄN</t>
        </is>
      </c>
      <c r="E12909" t="inlineStr">
        <is>
          <t>LILLA EDET</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48604-2022</t>
        </is>
      </c>
      <c r="B12910" s="1" t="n">
        <v>44859</v>
      </c>
      <c r="C12910" s="1" t="n">
        <v>46011</v>
      </c>
      <c r="D12910" t="inlineStr">
        <is>
          <t>VÄSTRA GÖTALANDS LÄN</t>
        </is>
      </c>
      <c r="E12910" t="inlineStr">
        <is>
          <t>SVENLJUNGA</t>
        </is>
      </c>
      <c r="F12910" t="inlineStr">
        <is>
          <t>Sveaskog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59541-2022</t>
        </is>
      </c>
      <c r="B12911" s="1" t="n">
        <v>44907.57800925926</v>
      </c>
      <c r="C12911" s="1" t="n">
        <v>46011</v>
      </c>
      <c r="D12911" t="inlineStr">
        <is>
          <t>VÄSTRA GÖTALANDS LÄN</t>
        </is>
      </c>
      <c r="E12911" t="inlineStr">
        <is>
          <t>ALINGSÅS</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5588-2021</t>
        </is>
      </c>
      <c r="B12912" s="1" t="n">
        <v>44230</v>
      </c>
      <c r="C12912" s="1" t="n">
        <v>46011</v>
      </c>
      <c r="D12912" t="inlineStr">
        <is>
          <t>VÄSTRA GÖTALANDS LÄN</t>
        </is>
      </c>
      <c r="E12912" t="inlineStr">
        <is>
          <t>SKARA</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14460-2023</t>
        </is>
      </c>
      <c r="B12913" s="1" t="n">
        <v>45010</v>
      </c>
      <c r="C12913" s="1" t="n">
        <v>46011</v>
      </c>
      <c r="D12913" t="inlineStr">
        <is>
          <t>VÄSTRA GÖTALANDS LÄN</t>
        </is>
      </c>
      <c r="E12913" t="inlineStr">
        <is>
          <t>HJO</t>
        </is>
      </c>
      <c r="G12913" t="n">
        <v>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14502-2023</t>
        </is>
      </c>
      <c r="B12914" s="1" t="n">
        <v>45012.74041666667</v>
      </c>
      <c r="C12914" s="1" t="n">
        <v>46011</v>
      </c>
      <c r="D12914" t="inlineStr">
        <is>
          <t>VÄSTRA GÖTALANDS LÄN</t>
        </is>
      </c>
      <c r="E12914" t="inlineStr">
        <is>
          <t>GÖTENE</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28200-2022</t>
        </is>
      </c>
      <c r="B12915" s="1" t="n">
        <v>44746</v>
      </c>
      <c r="C12915" s="1" t="n">
        <v>46011</v>
      </c>
      <c r="D12915" t="inlineStr">
        <is>
          <t>VÄSTRA GÖTALANDS LÄN</t>
        </is>
      </c>
      <c r="E12915" t="inlineStr">
        <is>
          <t>GULLSPÅNG</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2227-2022</t>
        </is>
      </c>
      <c r="B12916" s="1" t="n">
        <v>44578.56890046296</v>
      </c>
      <c r="C12916" s="1" t="n">
        <v>46011</v>
      </c>
      <c r="D12916" t="inlineStr">
        <is>
          <t>VÄSTRA GÖTALANDS LÄN</t>
        </is>
      </c>
      <c r="E12916" t="inlineStr">
        <is>
          <t>TRANEMO</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9610-2022</t>
        </is>
      </c>
      <c r="B12917" s="1" t="n">
        <v>44617</v>
      </c>
      <c r="C12917" s="1" t="n">
        <v>46011</v>
      </c>
      <c r="D12917" t="inlineStr">
        <is>
          <t>VÄSTRA GÖTALANDS LÄN</t>
        </is>
      </c>
      <c r="E12917" t="inlineStr">
        <is>
          <t>MARIESTAD</t>
        </is>
      </c>
      <c r="F12917" t="inlineStr">
        <is>
          <t>Kyrkan</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53891-2023</t>
        </is>
      </c>
      <c r="B12918" s="1" t="n">
        <v>45231.52905092593</v>
      </c>
      <c r="C12918" s="1" t="n">
        <v>46011</v>
      </c>
      <c r="D12918" t="inlineStr">
        <is>
          <t>VÄSTRA GÖTALANDS LÄN</t>
        </is>
      </c>
      <c r="E12918" t="inlineStr">
        <is>
          <t>MUNKEDAL</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52383-2023</t>
        </is>
      </c>
      <c r="B12919" s="1" t="n">
        <v>45224.81199074074</v>
      </c>
      <c r="C12919" s="1" t="n">
        <v>46011</v>
      </c>
      <c r="D12919" t="inlineStr">
        <is>
          <t>VÄSTRA GÖTALANDS LÄN</t>
        </is>
      </c>
      <c r="E12919" t="inlineStr">
        <is>
          <t>SKARA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25499-2022</t>
        </is>
      </c>
      <c r="B12920" s="1" t="n">
        <v>44732.57032407408</v>
      </c>
      <c r="C12920" s="1" t="n">
        <v>46011</v>
      </c>
      <c r="D12920" t="inlineStr">
        <is>
          <t>VÄSTRA GÖTALANDS LÄN</t>
        </is>
      </c>
      <c r="E12920" t="inlineStr">
        <is>
          <t>HÄRRYDA</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9084-2021</t>
        </is>
      </c>
      <c r="B12921" s="1" t="n">
        <v>44249</v>
      </c>
      <c r="C12921" s="1" t="n">
        <v>46011</v>
      </c>
      <c r="D12921" t="inlineStr">
        <is>
          <t>VÄSTRA GÖTALANDS LÄN</t>
        </is>
      </c>
      <c r="E12921" t="inlineStr">
        <is>
          <t>DALS-ED</t>
        </is>
      </c>
      <c r="F12921" t="inlineStr">
        <is>
          <t>Övriga Aktiebolag</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9106-2021</t>
        </is>
      </c>
      <c r="B12922" s="1" t="n">
        <v>44249</v>
      </c>
      <c r="C12922" s="1" t="n">
        <v>46011</v>
      </c>
      <c r="D12922" t="inlineStr">
        <is>
          <t>VÄSTRA GÖTALANDS LÄN</t>
        </is>
      </c>
      <c r="E12922" t="inlineStr">
        <is>
          <t>TIDAHOLM</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28157-2022</t>
        </is>
      </c>
      <c r="B12923" s="1" t="n">
        <v>44746.55107638889</v>
      </c>
      <c r="C12923" s="1" t="n">
        <v>46011</v>
      </c>
      <c r="D12923" t="inlineStr">
        <is>
          <t>VÄSTRA GÖTALANDS LÄN</t>
        </is>
      </c>
      <c r="E12923" t="inlineStr">
        <is>
          <t>LERUM</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4682-2024</t>
        </is>
      </c>
      <c r="B12924" s="1" t="n">
        <v>45328</v>
      </c>
      <c r="C12924" s="1" t="n">
        <v>46011</v>
      </c>
      <c r="D12924" t="inlineStr">
        <is>
          <t>VÄSTRA GÖTALANDS LÄN</t>
        </is>
      </c>
      <c r="E12924" t="inlineStr">
        <is>
          <t>TRANEMO</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20299-2025</t>
        </is>
      </c>
      <c r="B12925" s="1" t="n">
        <v>45774.76767361111</v>
      </c>
      <c r="C12925" s="1" t="n">
        <v>46011</v>
      </c>
      <c r="D12925" t="inlineStr">
        <is>
          <t>VÄSTRA GÖTALANDS LÄN</t>
        </is>
      </c>
      <c r="E12925" t="inlineStr">
        <is>
          <t>TRANEMO</t>
        </is>
      </c>
      <c r="F12925" t="inlineStr">
        <is>
          <t>Kyrkan</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20360-2025</t>
        </is>
      </c>
      <c r="B12926" s="1" t="n">
        <v>45775.39715277778</v>
      </c>
      <c r="C12926" s="1" t="n">
        <v>46011</v>
      </c>
      <c r="D12926" t="inlineStr">
        <is>
          <t>VÄSTRA GÖTALANDS LÄN</t>
        </is>
      </c>
      <c r="E12926" t="inlineStr">
        <is>
          <t>FALKÖPING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20363-2025</t>
        </is>
      </c>
      <c r="B12927" s="1" t="n">
        <v>45775.40270833333</v>
      </c>
      <c r="C12927" s="1" t="n">
        <v>46011</v>
      </c>
      <c r="D12927" t="inlineStr">
        <is>
          <t>VÄSTRA GÖTALANDS LÄN</t>
        </is>
      </c>
      <c r="E12927" t="inlineStr">
        <is>
          <t>TÖREBODA</t>
        </is>
      </c>
      <c r="F12927" t="inlineStr">
        <is>
          <t>Sveaskog</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37522-2024</t>
        </is>
      </c>
      <c r="B12928" s="1" t="n">
        <v>45541</v>
      </c>
      <c r="C12928" s="1" t="n">
        <v>46011</v>
      </c>
      <c r="D12928" t="inlineStr">
        <is>
          <t>VÄSTRA GÖTALANDS LÄN</t>
        </is>
      </c>
      <c r="E12928" t="inlineStr">
        <is>
          <t>ORUST</t>
        </is>
      </c>
      <c r="G12928" t="n">
        <v>10.2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629-2023</t>
        </is>
      </c>
      <c r="B12929" s="1" t="n">
        <v>44930.62032407407</v>
      </c>
      <c r="C12929" s="1" t="n">
        <v>46011</v>
      </c>
      <c r="D12929" t="inlineStr">
        <is>
          <t>VÄSTRA GÖTALANDS LÄN</t>
        </is>
      </c>
      <c r="E12929" t="inlineStr">
        <is>
          <t>MARIESTAD</t>
        </is>
      </c>
      <c r="G12929" t="n">
        <v>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39840-2021</t>
        </is>
      </c>
      <c r="B12930" s="1" t="n">
        <v>44417</v>
      </c>
      <c r="C12930" s="1" t="n">
        <v>46011</v>
      </c>
      <c r="D12930" t="inlineStr">
        <is>
          <t>VÄSTRA GÖTALANDS LÄN</t>
        </is>
      </c>
      <c r="E12930" t="inlineStr">
        <is>
          <t>ÅMÅL</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51367-2024</t>
        </is>
      </c>
      <c r="B12931" s="1" t="n">
        <v>45604.37143518519</v>
      </c>
      <c r="C12931" s="1" t="n">
        <v>46011</v>
      </c>
      <c r="D12931" t="inlineStr">
        <is>
          <t>VÄSTRA GÖTALANDS LÄN</t>
        </is>
      </c>
      <c r="E12931" t="inlineStr">
        <is>
          <t>STENUNGSUND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20968-2023</t>
        </is>
      </c>
      <c r="B12932" s="1" t="n">
        <v>45061</v>
      </c>
      <c r="C12932" s="1" t="n">
        <v>46011</v>
      </c>
      <c r="D12932" t="inlineStr">
        <is>
          <t>VÄSTRA GÖTALANDS LÄN</t>
        </is>
      </c>
      <c r="E12932" t="inlineStr">
        <is>
          <t>STRÖMSTAD</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38508-2024</t>
        </is>
      </c>
      <c r="B12933" s="1" t="n">
        <v>45546.54806712963</v>
      </c>
      <c r="C12933" s="1" t="n">
        <v>46011</v>
      </c>
      <c r="D12933" t="inlineStr">
        <is>
          <t>VÄSTRA GÖTALANDS LÄN</t>
        </is>
      </c>
      <c r="E12933" t="inlineStr">
        <is>
          <t>ALINGSÅS</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51550-2024</t>
        </is>
      </c>
      <c r="B12934" s="1" t="n">
        <v>45604</v>
      </c>
      <c r="C12934" s="1" t="n">
        <v>46011</v>
      </c>
      <c r="D12934" t="inlineStr">
        <is>
          <t>VÄSTRA GÖTALANDS LÄN</t>
        </is>
      </c>
      <c r="E12934" t="inlineStr">
        <is>
          <t>BENGTSFORS</t>
        </is>
      </c>
      <c r="G12934" t="n">
        <v>15.7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19361-2023</t>
        </is>
      </c>
      <c r="B12935" s="1" t="n">
        <v>45049</v>
      </c>
      <c r="C12935" s="1" t="n">
        <v>46011</v>
      </c>
      <c r="D12935" t="inlineStr">
        <is>
          <t>VÄSTRA GÖTALANDS LÄN</t>
        </is>
      </c>
      <c r="E12935" t="inlineStr">
        <is>
          <t>MUNKEDAL</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29996-2023</t>
        </is>
      </c>
      <c r="B12936" s="1" t="n">
        <v>45109.63346064815</v>
      </c>
      <c r="C12936" s="1" t="n">
        <v>46011</v>
      </c>
      <c r="D12936" t="inlineStr">
        <is>
          <t>VÄSTRA GÖTALANDS LÄN</t>
        </is>
      </c>
      <c r="E12936" t="inlineStr">
        <is>
          <t>ÅMÅL</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11370-2021</t>
        </is>
      </c>
      <c r="B12937" s="1" t="n">
        <v>44263</v>
      </c>
      <c r="C12937" s="1" t="n">
        <v>46011</v>
      </c>
      <c r="D12937" t="inlineStr">
        <is>
          <t>VÄSTRA GÖTALANDS LÄN</t>
        </is>
      </c>
      <c r="E12937" t="inlineStr">
        <is>
          <t>FÄRGELANDA</t>
        </is>
      </c>
      <c r="F12937" t="inlineStr">
        <is>
          <t>Kommuner</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16359-2021</t>
        </is>
      </c>
      <c r="B12938" s="1" t="n">
        <v>44293</v>
      </c>
      <c r="C12938" s="1" t="n">
        <v>46011</v>
      </c>
      <c r="D12938" t="inlineStr">
        <is>
          <t>VÄSTRA GÖTALANDS LÄN</t>
        </is>
      </c>
      <c r="E12938" t="inlineStr">
        <is>
          <t>FALKÖPING</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56316-2024</t>
        </is>
      </c>
      <c r="B12939" s="1" t="n">
        <v>45624.7383912037</v>
      </c>
      <c r="C12939" s="1" t="n">
        <v>46011</v>
      </c>
      <c r="D12939" t="inlineStr">
        <is>
          <t>VÄSTRA GÖTALANDS LÄN</t>
        </is>
      </c>
      <c r="E12939" t="inlineStr">
        <is>
          <t>HERRLJUNGA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21588-2022</t>
        </is>
      </c>
      <c r="B12940" s="1" t="n">
        <v>44706</v>
      </c>
      <c r="C12940" s="1" t="n">
        <v>46011</v>
      </c>
      <c r="D12940" t="inlineStr">
        <is>
          <t>VÄSTRA GÖTALANDS LÄN</t>
        </is>
      </c>
      <c r="E12940" t="inlineStr">
        <is>
          <t>FÄRGELANDA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6752-2023</t>
        </is>
      </c>
      <c r="B12941" s="1" t="n">
        <v>44966.87815972222</v>
      </c>
      <c r="C12941" s="1" t="n">
        <v>46011</v>
      </c>
      <c r="D12941" t="inlineStr">
        <is>
          <t>VÄSTRA GÖTALANDS LÄN</t>
        </is>
      </c>
      <c r="E12941" t="inlineStr">
        <is>
          <t>VÄNERSBORG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5971-2022</t>
        </is>
      </c>
      <c r="B12942" s="1" t="n">
        <v>44599</v>
      </c>
      <c r="C12942" s="1" t="n">
        <v>46011</v>
      </c>
      <c r="D12942" t="inlineStr">
        <is>
          <t>VÄSTRA GÖTALANDS LÄN</t>
        </is>
      </c>
      <c r="E12942" t="inlineStr">
        <is>
          <t>TÖREBODA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9693-2021</t>
        </is>
      </c>
      <c r="B12943" s="1" t="n">
        <v>44252</v>
      </c>
      <c r="C12943" s="1" t="n">
        <v>46011</v>
      </c>
      <c r="D12943" t="inlineStr">
        <is>
          <t>VÄSTRA GÖTALANDS LÄN</t>
        </is>
      </c>
      <c r="E12943" t="inlineStr">
        <is>
          <t>HÄRRYDA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9792-2021</t>
        </is>
      </c>
      <c r="B12944" s="1" t="n">
        <v>44252.68719907408</v>
      </c>
      <c r="C12944" s="1" t="n">
        <v>46011</v>
      </c>
      <c r="D12944" t="inlineStr">
        <is>
          <t>VÄSTRA GÖTALANDS LÄN</t>
        </is>
      </c>
      <c r="E12944" t="inlineStr">
        <is>
          <t>FÄRGELANDA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18360-2022</t>
        </is>
      </c>
      <c r="B12945" s="1" t="n">
        <v>44685</v>
      </c>
      <c r="C12945" s="1" t="n">
        <v>46011</v>
      </c>
      <c r="D12945" t="inlineStr">
        <is>
          <t>VÄSTRA GÖTALANDS LÄN</t>
        </is>
      </c>
      <c r="E12945" t="inlineStr">
        <is>
          <t>DALS-ED</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64553-2023</t>
        </is>
      </c>
      <c r="B12946" s="1" t="n">
        <v>45281.40106481482</v>
      </c>
      <c r="C12946" s="1" t="n">
        <v>46011</v>
      </c>
      <c r="D12946" t="inlineStr">
        <is>
          <t>VÄSTRA GÖTALANDS LÄN</t>
        </is>
      </c>
      <c r="E12946" t="inlineStr">
        <is>
          <t>SKARA</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18623-2022</t>
        </is>
      </c>
      <c r="B12947" s="1" t="n">
        <v>44687.44261574074</v>
      </c>
      <c r="C12947" s="1" t="n">
        <v>46011</v>
      </c>
      <c r="D12947" t="inlineStr">
        <is>
          <t>VÄSTRA GÖTALANDS LÄN</t>
        </is>
      </c>
      <c r="E12947" t="inlineStr">
        <is>
          <t>KARLSBORG</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64639-2023</t>
        </is>
      </c>
      <c r="B12948" s="1" t="n">
        <v>45281.55422453704</v>
      </c>
      <c r="C12948" s="1" t="n">
        <v>46011</v>
      </c>
      <c r="D12948" t="inlineStr">
        <is>
          <t>VÄSTRA GÖTALANDS LÄN</t>
        </is>
      </c>
      <c r="E12948" t="inlineStr">
        <is>
          <t>ESSUNGA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18656-2023</t>
        </is>
      </c>
      <c r="B12949" s="1" t="n">
        <v>45043</v>
      </c>
      <c r="C12949" s="1" t="n">
        <v>46011</v>
      </c>
      <c r="D12949" t="inlineStr">
        <is>
          <t>VÄSTRA GÖTALANDS LÄN</t>
        </is>
      </c>
      <c r="E12949" t="inlineStr">
        <is>
          <t>ULRICEHAMN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18734-2023</t>
        </is>
      </c>
      <c r="B12950" s="1" t="n">
        <v>45043</v>
      </c>
      <c r="C12950" s="1" t="n">
        <v>46011</v>
      </c>
      <c r="D12950" t="inlineStr">
        <is>
          <t>VÄSTRA GÖTALANDS LÄN</t>
        </is>
      </c>
      <c r="E12950" t="inlineStr">
        <is>
          <t>SKARA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62271-2023</t>
        </is>
      </c>
      <c r="B12951" s="1" t="n">
        <v>45267.6362037037</v>
      </c>
      <c r="C12951" s="1" t="n">
        <v>46011</v>
      </c>
      <c r="D12951" t="inlineStr">
        <is>
          <t>VÄSTRA GÖTALANDS LÄN</t>
        </is>
      </c>
      <c r="E12951" t="inlineStr">
        <is>
          <t>SKÖVDE</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6205-2023</t>
        </is>
      </c>
      <c r="B12952" s="1" t="n">
        <v>44964.75292824074</v>
      </c>
      <c r="C12952" s="1" t="n">
        <v>46011</v>
      </c>
      <c r="D12952" t="inlineStr">
        <is>
          <t>VÄSTRA GÖTALANDS LÄN</t>
        </is>
      </c>
      <c r="E12952" t="inlineStr">
        <is>
          <t>BENGTSFORS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58647-2022</t>
        </is>
      </c>
      <c r="B12953" s="1" t="n">
        <v>44902.64207175926</v>
      </c>
      <c r="C12953" s="1" t="n">
        <v>46011</v>
      </c>
      <c r="D12953" t="inlineStr">
        <is>
          <t>VÄSTRA GÖTALANDS LÄN</t>
        </is>
      </c>
      <c r="E12953" t="inlineStr">
        <is>
          <t>TRANEMO</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43599-2021</t>
        </is>
      </c>
      <c r="B12954" s="1" t="n">
        <v>44433</v>
      </c>
      <c r="C12954" s="1" t="n">
        <v>46011</v>
      </c>
      <c r="D12954" t="inlineStr">
        <is>
          <t>VÄSTRA GÖTALANDS LÄN</t>
        </is>
      </c>
      <c r="E12954" t="inlineStr">
        <is>
          <t>MUNKEDAL</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61915-2022</t>
        </is>
      </c>
      <c r="B12955" s="1" t="n">
        <v>44917.7606712963</v>
      </c>
      <c r="C12955" s="1" t="n">
        <v>46011</v>
      </c>
      <c r="D12955" t="inlineStr">
        <is>
          <t>VÄSTRA GÖTALANDS LÄN</t>
        </is>
      </c>
      <c r="E12955" t="inlineStr">
        <is>
          <t>FÄRGELANDA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1440-2023</t>
        </is>
      </c>
      <c r="B12956" s="1" t="n">
        <v>44931</v>
      </c>
      <c r="C12956" s="1" t="n">
        <v>46011</v>
      </c>
      <c r="D12956" t="inlineStr">
        <is>
          <t>VÄSTRA GÖTALANDS LÄN</t>
        </is>
      </c>
      <c r="E12956" t="inlineStr">
        <is>
          <t>TRANEMO</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38251-2021</t>
        </is>
      </c>
      <c r="B12957" s="1" t="n">
        <v>44405</v>
      </c>
      <c r="C12957" s="1" t="n">
        <v>46011</v>
      </c>
      <c r="D12957" t="inlineStr">
        <is>
          <t>VÄSTRA GÖTALANDS LÄN</t>
        </is>
      </c>
      <c r="E12957" t="inlineStr">
        <is>
          <t>GÖTENE</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30381-2022</t>
        </is>
      </c>
      <c r="B12958" s="1" t="n">
        <v>44760.71414351852</v>
      </c>
      <c r="C12958" s="1" t="n">
        <v>46011</v>
      </c>
      <c r="D12958" t="inlineStr">
        <is>
          <t>VÄSTRA GÖTALANDS LÄN</t>
        </is>
      </c>
      <c r="E12958" t="inlineStr">
        <is>
          <t>MARK</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25110-2024</t>
        </is>
      </c>
      <c r="B12959" s="1" t="n">
        <v>45462.43706018518</v>
      </c>
      <c r="C12959" s="1" t="n">
        <v>46011</v>
      </c>
      <c r="D12959" t="inlineStr">
        <is>
          <t>VÄSTRA GÖTALANDS LÄN</t>
        </is>
      </c>
      <c r="E12959" t="inlineStr">
        <is>
          <t>TIDAHOLM</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24392-2022</t>
        </is>
      </c>
      <c r="B12960" s="1" t="n">
        <v>44726</v>
      </c>
      <c r="C12960" s="1" t="n">
        <v>46011</v>
      </c>
      <c r="D12960" t="inlineStr">
        <is>
          <t>VÄSTRA GÖTALANDS LÄN</t>
        </is>
      </c>
      <c r="E12960" t="inlineStr">
        <is>
          <t>SVENLJUNGA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53719-2023</t>
        </is>
      </c>
      <c r="B12961" s="1" t="n">
        <v>45230.72717592592</v>
      </c>
      <c r="C12961" s="1" t="n">
        <v>46011</v>
      </c>
      <c r="D12961" t="inlineStr">
        <is>
          <t>VÄSTRA GÖTALANDS LÄN</t>
        </is>
      </c>
      <c r="E12961" t="inlineStr">
        <is>
          <t>VARA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17525-2021</t>
        </is>
      </c>
      <c r="B12962" s="1" t="n">
        <v>44299</v>
      </c>
      <c r="C12962" s="1" t="n">
        <v>46011</v>
      </c>
      <c r="D12962" t="inlineStr">
        <is>
          <t>VÄSTRA GÖTALANDS LÄN</t>
        </is>
      </c>
      <c r="E12962" t="inlineStr">
        <is>
          <t>TIDAHOLM</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55409-2022</t>
        </is>
      </c>
      <c r="B12963" s="1" t="n">
        <v>44887.58810185185</v>
      </c>
      <c r="C12963" s="1" t="n">
        <v>46011</v>
      </c>
      <c r="D12963" t="inlineStr">
        <is>
          <t>VÄSTRA GÖTALANDS LÄN</t>
        </is>
      </c>
      <c r="E12963" t="inlineStr">
        <is>
          <t>BENGTSFORS</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11575-2022</t>
        </is>
      </c>
      <c r="B12964" s="1" t="n">
        <v>44631</v>
      </c>
      <c r="C12964" s="1" t="n">
        <v>46011</v>
      </c>
      <c r="D12964" t="inlineStr">
        <is>
          <t>VÄSTRA GÖTALANDS LÄN</t>
        </is>
      </c>
      <c r="E12964" t="inlineStr">
        <is>
          <t>MARK</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53279-2023</t>
        </is>
      </c>
      <c r="B12965" s="1" t="n">
        <v>45229</v>
      </c>
      <c r="C12965" s="1" t="n">
        <v>46011</v>
      </c>
      <c r="D12965" t="inlineStr">
        <is>
          <t>VÄSTRA GÖTALANDS LÄN</t>
        </is>
      </c>
      <c r="E12965" t="inlineStr">
        <is>
          <t>LIDKÖPING</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53374-2023</t>
        </is>
      </c>
      <c r="B12966" s="1" t="n">
        <v>45229</v>
      </c>
      <c r="C12966" s="1" t="n">
        <v>46011</v>
      </c>
      <c r="D12966" t="inlineStr">
        <is>
          <t>VÄSTRA GÖTALANDS LÄN</t>
        </is>
      </c>
      <c r="E12966" t="inlineStr">
        <is>
          <t>VARA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19056-2022</t>
        </is>
      </c>
      <c r="B12967" s="1" t="n">
        <v>44691</v>
      </c>
      <c r="C12967" s="1" t="n">
        <v>46011</v>
      </c>
      <c r="D12967" t="inlineStr">
        <is>
          <t>VÄSTRA GÖTALANDS LÄN</t>
        </is>
      </c>
      <c r="E12967" t="inlineStr">
        <is>
          <t>HERRLJUNGA</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30652-2023</t>
        </is>
      </c>
      <c r="B12968" s="1" t="n">
        <v>45112</v>
      </c>
      <c r="C12968" s="1" t="n">
        <v>46011</v>
      </c>
      <c r="D12968" t="inlineStr">
        <is>
          <t>VÄSTRA GÖTALANDS LÄN</t>
        </is>
      </c>
      <c r="E12968" t="inlineStr">
        <is>
          <t>MARIESTAD</t>
        </is>
      </c>
      <c r="F12968" t="inlineStr">
        <is>
          <t>Kommuner</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10286-2024</t>
        </is>
      </c>
      <c r="B12969" s="1" t="n">
        <v>45365</v>
      </c>
      <c r="C12969" s="1" t="n">
        <v>46011</v>
      </c>
      <c r="D12969" t="inlineStr">
        <is>
          <t>VÄSTRA GÖTALANDS LÄN</t>
        </is>
      </c>
      <c r="E12969" t="inlineStr">
        <is>
          <t>UDDEVALLA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14552-2023</t>
        </is>
      </c>
      <c r="B12970" s="1" t="n">
        <v>45013.42783564814</v>
      </c>
      <c r="C12970" s="1" t="n">
        <v>46011</v>
      </c>
      <c r="D12970" t="inlineStr">
        <is>
          <t>VÄSTRA GÖTALANDS LÄN</t>
        </is>
      </c>
      <c r="E12970" t="inlineStr">
        <is>
          <t>SKÖVDE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9297-2022</t>
        </is>
      </c>
      <c r="B12971" s="1" t="n">
        <v>44616.47766203704</v>
      </c>
      <c r="C12971" s="1" t="n">
        <v>46011</v>
      </c>
      <c r="D12971" t="inlineStr">
        <is>
          <t>VÄSTRA GÖTALANDS LÄN</t>
        </is>
      </c>
      <c r="E12971" t="inlineStr">
        <is>
          <t>HJO</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59399-2022</t>
        </is>
      </c>
      <c r="B12972" s="1" t="n">
        <v>44906.89612268518</v>
      </c>
      <c r="C12972" s="1" t="n">
        <v>46011</v>
      </c>
      <c r="D12972" t="inlineStr">
        <is>
          <t>VÄSTRA GÖTALANDS LÄN</t>
        </is>
      </c>
      <c r="E12972" t="inlineStr">
        <is>
          <t>KARLSBORG</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51229-2022</t>
        </is>
      </c>
      <c r="B12973" s="1" t="n">
        <v>44868</v>
      </c>
      <c r="C12973" s="1" t="n">
        <v>46011</v>
      </c>
      <c r="D12973" t="inlineStr">
        <is>
          <t>VÄSTRA GÖTALANDS LÄN</t>
        </is>
      </c>
      <c r="E12973" t="inlineStr">
        <is>
          <t>BOLLEBYGD</t>
        </is>
      </c>
      <c r="G12973" t="n">
        <v>5.8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57984-2022</t>
        </is>
      </c>
      <c r="B12974" s="1" t="n">
        <v>44900</v>
      </c>
      <c r="C12974" s="1" t="n">
        <v>46011</v>
      </c>
      <c r="D12974" t="inlineStr">
        <is>
          <t>VÄSTRA GÖTALANDS LÄN</t>
        </is>
      </c>
      <c r="E12974" t="inlineStr">
        <is>
          <t>TÖREBODA</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25514-2022</t>
        </is>
      </c>
      <c r="B12975" s="1" t="n">
        <v>44732.58395833334</v>
      </c>
      <c r="C12975" s="1" t="n">
        <v>46011</v>
      </c>
      <c r="D12975" t="inlineStr">
        <is>
          <t>VÄSTRA GÖTALANDS LÄN</t>
        </is>
      </c>
      <c r="E12975" t="inlineStr">
        <is>
          <t>TROLLHÄTTAN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49946-2021</t>
        </is>
      </c>
      <c r="B12976" s="1" t="n">
        <v>44454</v>
      </c>
      <c r="C12976" s="1" t="n">
        <v>46011</v>
      </c>
      <c r="D12976" t="inlineStr">
        <is>
          <t>VÄSTRA GÖTALANDS LÄN</t>
        </is>
      </c>
      <c r="E12976" t="inlineStr">
        <is>
          <t>MUNKEDAL</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3457-2022</t>
        </is>
      </c>
      <c r="B12977" s="1" t="n">
        <v>44585</v>
      </c>
      <c r="C12977" s="1" t="n">
        <v>46011</v>
      </c>
      <c r="D12977" t="inlineStr">
        <is>
          <t>VÄSTRA GÖTALANDS LÄN</t>
        </is>
      </c>
      <c r="E12977" t="inlineStr">
        <is>
          <t>ALE</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38817-2022</t>
        </is>
      </c>
      <c r="B12978" s="1" t="n">
        <v>44816.47021990741</v>
      </c>
      <c r="C12978" s="1" t="n">
        <v>46011</v>
      </c>
      <c r="D12978" t="inlineStr">
        <is>
          <t>VÄSTRA GÖTALANDS LÄN</t>
        </is>
      </c>
      <c r="E12978" t="inlineStr">
        <is>
          <t>MARIESTAD</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30332-2022</t>
        </is>
      </c>
      <c r="B12979" s="1" t="n">
        <v>44760.46152777778</v>
      </c>
      <c r="C12979" s="1" t="n">
        <v>46011</v>
      </c>
      <c r="D12979" t="inlineStr">
        <is>
          <t>VÄSTRA GÖTALANDS LÄN</t>
        </is>
      </c>
      <c r="E12979" t="inlineStr">
        <is>
          <t>ULRICEHAMN</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49920-2023</t>
        </is>
      </c>
      <c r="B12980" s="1" t="n">
        <v>45214.8296875</v>
      </c>
      <c r="C12980" s="1" t="n">
        <v>46011</v>
      </c>
      <c r="D12980" t="inlineStr">
        <is>
          <t>VÄSTRA GÖTALANDS LÄN</t>
        </is>
      </c>
      <c r="E12980" t="inlineStr">
        <is>
          <t>HERRLJUNGA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36038-2021</t>
        </is>
      </c>
      <c r="B12981" s="1" t="n">
        <v>44386</v>
      </c>
      <c r="C12981" s="1" t="n">
        <v>46011</v>
      </c>
      <c r="D12981" t="inlineStr">
        <is>
          <t>VÄSTRA GÖTALANDS LÄN</t>
        </is>
      </c>
      <c r="E12981" t="inlineStr">
        <is>
          <t>MARIESTAD</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32771-2021</t>
        </is>
      </c>
      <c r="B12982" s="1" t="n">
        <v>44375</v>
      </c>
      <c r="C12982" s="1" t="n">
        <v>46011</v>
      </c>
      <c r="D12982" t="inlineStr">
        <is>
          <t>VÄSTRA GÖTALANDS LÄN</t>
        </is>
      </c>
      <c r="E12982" t="inlineStr">
        <is>
          <t>VARA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24546-2024</t>
        </is>
      </c>
      <c r="B12983" s="1" t="n">
        <v>45460.39871527778</v>
      </c>
      <c r="C12983" s="1" t="n">
        <v>46011</v>
      </c>
      <c r="D12983" t="inlineStr">
        <is>
          <t>VÄSTRA GÖTALANDS LÄN</t>
        </is>
      </c>
      <c r="E12983" t="inlineStr">
        <is>
          <t>TÖREBODA</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17471-2023</t>
        </is>
      </c>
      <c r="B12984" s="1" t="n">
        <v>45036.35840277778</v>
      </c>
      <c r="C12984" s="1" t="n">
        <v>46011</v>
      </c>
      <c r="D12984" t="inlineStr">
        <is>
          <t>VÄSTRA GÖTALANDS LÄN</t>
        </is>
      </c>
      <c r="E12984" t="inlineStr">
        <is>
          <t>TANUM</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14168-2023</t>
        </is>
      </c>
      <c r="B12985" s="1" t="n">
        <v>45009.50658564815</v>
      </c>
      <c r="C12985" s="1" t="n">
        <v>46011</v>
      </c>
      <c r="D12985" t="inlineStr">
        <is>
          <t>VÄSTRA GÖTALANDS LÄN</t>
        </is>
      </c>
      <c r="E12985" t="inlineStr">
        <is>
          <t>HERRLJUNGA</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6853-2023</t>
        </is>
      </c>
      <c r="B12986" s="1" t="n">
        <v>44967</v>
      </c>
      <c r="C12986" s="1" t="n">
        <v>46011</v>
      </c>
      <c r="D12986" t="inlineStr">
        <is>
          <t>VÄSTRA GÖTALANDS LÄN</t>
        </is>
      </c>
      <c r="E12986" t="inlineStr">
        <is>
          <t>ULRICEHAMN</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6856-2023</t>
        </is>
      </c>
      <c r="B12987" s="1" t="n">
        <v>44967</v>
      </c>
      <c r="C12987" s="1" t="n">
        <v>46011</v>
      </c>
      <c r="D12987" t="inlineStr">
        <is>
          <t>VÄSTRA GÖTALANDS LÄN</t>
        </is>
      </c>
      <c r="E12987" t="inlineStr">
        <is>
          <t>ULRICEHAMN</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40026-2024</t>
        </is>
      </c>
      <c r="B12988" s="1" t="n">
        <v>45553.68366898148</v>
      </c>
      <c r="C12988" s="1" t="n">
        <v>46011</v>
      </c>
      <c r="D12988" t="inlineStr">
        <is>
          <t>VÄSTRA GÖTALANDS LÄN</t>
        </is>
      </c>
      <c r="E12988" t="inlineStr">
        <is>
          <t>UDDEVALLA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40092-2024</t>
        </is>
      </c>
      <c r="B12989" s="1" t="n">
        <v>45554.3884375</v>
      </c>
      <c r="C12989" s="1" t="n">
        <v>46011</v>
      </c>
      <c r="D12989" t="inlineStr">
        <is>
          <t>VÄSTRA GÖTALANDS LÄN</t>
        </is>
      </c>
      <c r="E12989" t="inlineStr">
        <is>
          <t>LILLA EDET</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10263-2021</t>
        </is>
      </c>
      <c r="B12990" s="1" t="n">
        <v>44256</v>
      </c>
      <c r="C12990" s="1" t="n">
        <v>46011</v>
      </c>
      <c r="D12990" t="inlineStr">
        <is>
          <t>VÄSTRA GÖTALANDS LÄN</t>
        </is>
      </c>
      <c r="E12990" t="inlineStr">
        <is>
          <t>FÄRGELANDA</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6102-2023</t>
        </is>
      </c>
      <c r="B12991" s="1" t="n">
        <v>44964</v>
      </c>
      <c r="C12991" s="1" t="n">
        <v>46011</v>
      </c>
      <c r="D12991" t="inlineStr">
        <is>
          <t>VÄSTRA GÖTALANDS LÄN</t>
        </is>
      </c>
      <c r="E12991" t="inlineStr">
        <is>
          <t>LIDKÖPING</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56450-2024</t>
        </is>
      </c>
      <c r="B12992" s="1" t="n">
        <v>45625.43532407407</v>
      </c>
      <c r="C12992" s="1" t="n">
        <v>46011</v>
      </c>
      <c r="D12992" t="inlineStr">
        <is>
          <t>VÄSTRA GÖTALANDS LÄN</t>
        </is>
      </c>
      <c r="E12992" t="inlineStr">
        <is>
          <t>ULRICEHAMN</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62221-2022</t>
        </is>
      </c>
      <c r="B12993" s="1" t="n">
        <v>44922</v>
      </c>
      <c r="C12993" s="1" t="n">
        <v>46011</v>
      </c>
      <c r="D12993" t="inlineStr">
        <is>
          <t>VÄSTRA GÖTALANDS LÄN</t>
        </is>
      </c>
      <c r="E12993" t="inlineStr">
        <is>
          <t>TIBRO</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12030-2025</t>
        </is>
      </c>
      <c r="B12994" s="1" t="n">
        <v>45728.64429398148</v>
      </c>
      <c r="C12994" s="1" t="n">
        <v>46011</v>
      </c>
      <c r="D12994" t="inlineStr">
        <is>
          <t>VÄSTRA GÖTALANDS LÄN</t>
        </is>
      </c>
      <c r="E12994" t="inlineStr">
        <is>
          <t>HERRLJUNGA</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45933-2024</t>
        </is>
      </c>
      <c r="B12995" s="1" t="n">
        <v>45580.50152777778</v>
      </c>
      <c r="C12995" s="1" t="n">
        <v>46011</v>
      </c>
      <c r="D12995" t="inlineStr">
        <is>
          <t>VÄSTRA GÖTALANDS LÄN</t>
        </is>
      </c>
      <c r="E12995" t="inlineStr">
        <is>
          <t>UDDEVALLA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10881-2025</t>
        </is>
      </c>
      <c r="B12996" s="1" t="n">
        <v>45722.65114583333</v>
      </c>
      <c r="C12996" s="1" t="n">
        <v>46011</v>
      </c>
      <c r="D12996" t="inlineStr">
        <is>
          <t>VÄSTRA GÖTALANDS LÄN</t>
        </is>
      </c>
      <c r="E12996" t="inlineStr">
        <is>
          <t>TRANEMO</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10896-2025</t>
        </is>
      </c>
      <c r="B12997" s="1" t="n">
        <v>45722</v>
      </c>
      <c r="C12997" s="1" t="n">
        <v>46011</v>
      </c>
      <c r="D12997" t="inlineStr">
        <is>
          <t>VÄSTRA GÖTALANDS LÄN</t>
        </is>
      </c>
      <c r="E12997" t="inlineStr">
        <is>
          <t>TANUM</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33285-2021</t>
        </is>
      </c>
      <c r="B12998" s="1" t="n">
        <v>44377</v>
      </c>
      <c r="C12998" s="1" t="n">
        <v>46011</v>
      </c>
      <c r="D12998" t="inlineStr">
        <is>
          <t>VÄSTRA GÖTALANDS LÄN</t>
        </is>
      </c>
      <c r="E12998" t="inlineStr">
        <is>
          <t>BENGTSFORS</t>
        </is>
      </c>
      <c r="F12998" t="inlineStr">
        <is>
          <t>Kyrkan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70743-2021</t>
        </is>
      </c>
      <c r="B12999" s="1" t="n">
        <v>44537.63103009259</v>
      </c>
      <c r="C12999" s="1" t="n">
        <v>46011</v>
      </c>
      <c r="D12999" t="inlineStr">
        <is>
          <t>VÄSTRA GÖTALANDS LÄN</t>
        </is>
      </c>
      <c r="E12999" t="inlineStr">
        <is>
          <t>HJO</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57670-2023</t>
        </is>
      </c>
      <c r="B13000" s="1" t="n">
        <v>45246</v>
      </c>
      <c r="C13000" s="1" t="n">
        <v>46011</v>
      </c>
      <c r="D13000" t="inlineStr">
        <is>
          <t>VÄSTRA GÖTALANDS LÄN</t>
        </is>
      </c>
      <c r="E13000" t="inlineStr">
        <is>
          <t>TÖREBODA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3027-2024</t>
        </is>
      </c>
      <c r="B13001" s="1" t="n">
        <v>45316.29578703704</v>
      </c>
      <c r="C13001" s="1" t="n">
        <v>46011</v>
      </c>
      <c r="D13001" t="inlineStr">
        <is>
          <t>VÄSTRA GÖTALANDS LÄN</t>
        </is>
      </c>
      <c r="E13001" t="inlineStr">
        <is>
          <t>SVENLJUNGA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43460-2024</t>
        </is>
      </c>
      <c r="B13002" s="1" t="n">
        <v>45568.70137731481</v>
      </c>
      <c r="C13002" s="1" t="n">
        <v>46011</v>
      </c>
      <c r="D13002" t="inlineStr">
        <is>
          <t>VÄSTRA GÖTALANDS LÄN</t>
        </is>
      </c>
      <c r="E13002" t="inlineStr">
        <is>
          <t>LIDKÖPING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13481-2023</t>
        </is>
      </c>
      <c r="B13003" s="1" t="n">
        <v>45005</v>
      </c>
      <c r="C13003" s="1" t="n">
        <v>46011</v>
      </c>
      <c r="D13003" t="inlineStr">
        <is>
          <t>VÄSTRA GÖTALANDS LÄN</t>
        </is>
      </c>
      <c r="E13003" t="inlineStr">
        <is>
          <t>VARA</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13522-2023</t>
        </is>
      </c>
      <c r="B13004" s="1" t="n">
        <v>45006.35238425926</v>
      </c>
      <c r="C13004" s="1" t="n">
        <v>46011</v>
      </c>
      <c r="D13004" t="inlineStr">
        <is>
          <t>VÄSTRA GÖTALANDS LÄN</t>
        </is>
      </c>
      <c r="E13004" t="inlineStr">
        <is>
          <t>LIDKÖPING</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63478-2023</t>
        </is>
      </c>
      <c r="B13005" s="1" t="n">
        <v>45274.65697916667</v>
      </c>
      <c r="C13005" s="1" t="n">
        <v>46011</v>
      </c>
      <c r="D13005" t="inlineStr">
        <is>
          <t>VÄSTRA GÖTALANDS LÄN</t>
        </is>
      </c>
      <c r="E13005" t="inlineStr">
        <is>
          <t>SVENLJUNGA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58213-2022</t>
        </is>
      </c>
      <c r="B13006" s="1" t="n">
        <v>44901.36065972222</v>
      </c>
      <c r="C13006" s="1" t="n">
        <v>46011</v>
      </c>
      <c r="D13006" t="inlineStr">
        <is>
          <t>VÄSTRA GÖTALANDS LÄN</t>
        </is>
      </c>
      <c r="E13006" t="inlineStr">
        <is>
          <t>TÖREBODA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53270-2024</t>
        </is>
      </c>
      <c r="B13007" s="1" t="n">
        <v>45614.36040509259</v>
      </c>
      <c r="C13007" s="1" t="n">
        <v>46011</v>
      </c>
      <c r="D13007" t="inlineStr">
        <is>
          <t>VÄSTRA GÖTALANDS LÄN</t>
        </is>
      </c>
      <c r="E13007" t="inlineStr">
        <is>
          <t>MELLERUD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64998-2021</t>
        </is>
      </c>
      <c r="B13008" s="1" t="n">
        <v>44514</v>
      </c>
      <c r="C13008" s="1" t="n">
        <v>46011</v>
      </c>
      <c r="D13008" t="inlineStr">
        <is>
          <t>VÄSTRA GÖTALANDS LÄN</t>
        </is>
      </c>
      <c r="E13008" t="inlineStr">
        <is>
          <t>ULRICEHAMN</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10494-2022</t>
        </is>
      </c>
      <c r="B13009" s="1" t="n">
        <v>44623.64945601852</v>
      </c>
      <c r="C13009" s="1" t="n">
        <v>46011</v>
      </c>
      <c r="D13009" t="inlineStr">
        <is>
          <t>VÄSTRA GÖTALANDS LÄN</t>
        </is>
      </c>
      <c r="E13009" t="inlineStr">
        <is>
          <t>TROLLHÄTTAN</t>
        </is>
      </c>
      <c r="G13009" t="n">
        <v>13.3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61969-2022</t>
        </is>
      </c>
      <c r="B13010" s="1" t="n">
        <v>44914</v>
      </c>
      <c r="C13010" s="1" t="n">
        <v>46011</v>
      </c>
      <c r="D13010" t="inlineStr">
        <is>
          <t>VÄSTRA GÖTALANDS LÄN</t>
        </is>
      </c>
      <c r="E13010" t="inlineStr">
        <is>
          <t>VÅRGÅRDA</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18937-2025</t>
        </is>
      </c>
      <c r="B13011" s="1" t="n">
        <v>45764.48995370371</v>
      </c>
      <c r="C13011" s="1" t="n">
        <v>46011</v>
      </c>
      <c r="D13011" t="inlineStr">
        <is>
          <t>VÄSTRA GÖTALANDS LÄN</t>
        </is>
      </c>
      <c r="E13011" t="inlineStr">
        <is>
          <t>SVENLJUNGA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5647-2023</t>
        </is>
      </c>
      <c r="B13012" s="1" t="n">
        <v>44960.6078125</v>
      </c>
      <c r="C13012" s="1" t="n">
        <v>46011</v>
      </c>
      <c r="D13012" t="inlineStr">
        <is>
          <t>VÄSTRA GÖTALANDS LÄN</t>
        </is>
      </c>
      <c r="E13012" t="inlineStr">
        <is>
          <t>MELLERUD</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57754-2023</t>
        </is>
      </c>
      <c r="B13013" s="1" t="n">
        <v>45246.79032407407</v>
      </c>
      <c r="C13013" s="1" t="n">
        <v>46011</v>
      </c>
      <c r="D13013" t="inlineStr">
        <is>
          <t>VÄSTRA GÖTALANDS LÄN</t>
        </is>
      </c>
      <c r="E13013" t="inlineStr">
        <is>
          <t>LILLA EDET</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57759-2023</t>
        </is>
      </c>
      <c r="B13014" s="1" t="n">
        <v>45246.8422337963</v>
      </c>
      <c r="C13014" s="1" t="n">
        <v>46011</v>
      </c>
      <c r="D13014" t="inlineStr">
        <is>
          <t>VÄSTRA GÖTALANDS LÄN</t>
        </is>
      </c>
      <c r="E13014" t="inlineStr">
        <is>
          <t>VARA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1545-2023</t>
        </is>
      </c>
      <c r="B13015" s="1" t="n">
        <v>44937</v>
      </c>
      <c r="C13015" s="1" t="n">
        <v>46011</v>
      </c>
      <c r="D13015" t="inlineStr">
        <is>
          <t>VÄSTRA GÖTALANDS LÄN</t>
        </is>
      </c>
      <c r="E13015" t="inlineStr">
        <is>
          <t>MARIESTAD</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51467-2023</t>
        </is>
      </c>
      <c r="B13016" s="1" t="n">
        <v>45221.75239583333</v>
      </c>
      <c r="C13016" s="1" t="n">
        <v>46011</v>
      </c>
      <c r="D13016" t="inlineStr">
        <is>
          <t>VÄSTRA GÖTALANDS LÄN</t>
        </is>
      </c>
      <c r="E13016" t="inlineStr">
        <is>
          <t>VARA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51553-2023</t>
        </is>
      </c>
      <c r="B13017" s="1" t="n">
        <v>45222</v>
      </c>
      <c r="C13017" s="1" t="n">
        <v>46011</v>
      </c>
      <c r="D13017" t="inlineStr">
        <is>
          <t>VÄSTRA GÖTALANDS LÄN</t>
        </is>
      </c>
      <c r="E13017" t="inlineStr">
        <is>
          <t>MARK</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18932-2024</t>
        </is>
      </c>
      <c r="B13018" s="1" t="n">
        <v>45427.43978009259</v>
      </c>
      <c r="C13018" s="1" t="n">
        <v>46011</v>
      </c>
      <c r="D13018" t="inlineStr">
        <is>
          <t>VÄSTRA GÖTALANDS LÄN</t>
        </is>
      </c>
      <c r="E13018" t="inlineStr">
        <is>
          <t>FÄRGELANDA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24381-2023</t>
        </is>
      </c>
      <c r="B13019" s="1" t="n">
        <v>45076</v>
      </c>
      <c r="C13019" s="1" t="n">
        <v>46011</v>
      </c>
      <c r="D13019" t="inlineStr">
        <is>
          <t>VÄSTRA GÖTALANDS LÄN</t>
        </is>
      </c>
      <c r="E13019" t="inlineStr">
        <is>
          <t>TÖREBODA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11655-2023</t>
        </is>
      </c>
      <c r="B13020" s="1" t="n">
        <v>44994.45974537037</v>
      </c>
      <c r="C13020" s="1" t="n">
        <v>46011</v>
      </c>
      <c r="D13020" t="inlineStr">
        <is>
          <t>VÄSTRA GÖTALANDS LÄN</t>
        </is>
      </c>
      <c r="E13020" t="inlineStr">
        <is>
          <t>MARK</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53552-2024</t>
        </is>
      </c>
      <c r="B13021" s="1" t="n">
        <v>45614.64042824074</v>
      </c>
      <c r="C13021" s="1" t="n">
        <v>46011</v>
      </c>
      <c r="D13021" t="inlineStr">
        <is>
          <t>VÄSTRA GÖTALANDS LÄN</t>
        </is>
      </c>
      <c r="E13021" t="inlineStr">
        <is>
          <t>HERRLJUNGA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53584-2024</t>
        </is>
      </c>
      <c r="B13022" s="1" t="n">
        <v>45614.66459490741</v>
      </c>
      <c r="C13022" s="1" t="n">
        <v>46011</v>
      </c>
      <c r="D13022" t="inlineStr">
        <is>
          <t>VÄSTRA GÖTALANDS LÄN</t>
        </is>
      </c>
      <c r="E13022" t="inlineStr">
        <is>
          <t>FÄRGELANDA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49050-2021</t>
        </is>
      </c>
      <c r="B13023" s="1" t="n">
        <v>44453.59045138889</v>
      </c>
      <c r="C13023" s="1" t="n">
        <v>46011</v>
      </c>
      <c r="D13023" t="inlineStr">
        <is>
          <t>VÄSTRA GÖTALANDS LÄN</t>
        </is>
      </c>
      <c r="E13023" t="inlineStr">
        <is>
          <t>TIDAHOLM</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5433-2023</t>
        </is>
      </c>
      <c r="B13024" s="1" t="n">
        <v>44959.8830787037</v>
      </c>
      <c r="C13024" s="1" t="n">
        <v>46011</v>
      </c>
      <c r="D13024" t="inlineStr">
        <is>
          <t>VÄSTRA GÖTALANDS LÄN</t>
        </is>
      </c>
      <c r="E13024" t="inlineStr">
        <is>
          <t>UDDEVALLA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60040-2022</t>
        </is>
      </c>
      <c r="B13025" s="1" t="n">
        <v>44902</v>
      </c>
      <c r="C13025" s="1" t="n">
        <v>46011</v>
      </c>
      <c r="D13025" t="inlineStr">
        <is>
          <t>VÄSTRA GÖTALANDS LÄN</t>
        </is>
      </c>
      <c r="E13025" t="inlineStr">
        <is>
          <t>TIDAHOLM</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62148-2022</t>
        </is>
      </c>
      <c r="B13026" s="1" t="n">
        <v>44922.40197916667</v>
      </c>
      <c r="C13026" s="1" t="n">
        <v>46011</v>
      </c>
      <c r="D13026" t="inlineStr">
        <is>
          <t>VÄSTRA GÖTALANDS LÄN</t>
        </is>
      </c>
      <c r="E13026" t="inlineStr">
        <is>
          <t>VÅRGÅRDA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55003-2024</t>
        </is>
      </c>
      <c r="B13027" s="1" t="n">
        <v>45621.32651620371</v>
      </c>
      <c r="C13027" s="1" t="n">
        <v>46011</v>
      </c>
      <c r="D13027" t="inlineStr">
        <is>
          <t>VÄSTRA GÖTALANDS LÄN</t>
        </is>
      </c>
      <c r="E13027" t="inlineStr">
        <is>
          <t>HJO</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3245-2021</t>
        </is>
      </c>
      <c r="B13028" s="1" t="n">
        <v>44217</v>
      </c>
      <c r="C13028" s="1" t="n">
        <v>46011</v>
      </c>
      <c r="D13028" t="inlineStr">
        <is>
          <t>VÄSTRA GÖTALANDS LÄN</t>
        </is>
      </c>
      <c r="E13028" t="inlineStr">
        <is>
          <t>MARK</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7443-2023</t>
        </is>
      </c>
      <c r="B13029" s="1" t="n">
        <v>44971</v>
      </c>
      <c r="C13029" s="1" t="n">
        <v>46011</v>
      </c>
      <c r="D13029" t="inlineStr">
        <is>
          <t>VÄSTRA GÖTALANDS LÄN</t>
        </is>
      </c>
      <c r="E13029" t="inlineStr">
        <is>
          <t>MELLERUD</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31940-2024</t>
        </is>
      </c>
      <c r="B13030" s="1" t="n">
        <v>45510</v>
      </c>
      <c r="C13030" s="1" t="n">
        <v>46011</v>
      </c>
      <c r="D13030" t="inlineStr">
        <is>
          <t>VÄSTRA GÖTALANDS LÄN</t>
        </is>
      </c>
      <c r="E13030" t="inlineStr">
        <is>
          <t>BORÅS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36456-2023</t>
        </is>
      </c>
      <c r="B13031" s="1" t="n">
        <v>45151</v>
      </c>
      <c r="C13031" s="1" t="n">
        <v>46011</v>
      </c>
      <c r="D13031" t="inlineStr">
        <is>
          <t>VÄSTRA GÖTALANDS LÄN</t>
        </is>
      </c>
      <c r="E13031" t="inlineStr">
        <is>
          <t>DALS-ED</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48904-2024</t>
        </is>
      </c>
      <c r="B13032" s="1" t="n">
        <v>45594.35560185185</v>
      </c>
      <c r="C13032" s="1" t="n">
        <v>46011</v>
      </c>
      <c r="D13032" t="inlineStr">
        <is>
          <t>VÄSTRA GÖTALANDS LÄN</t>
        </is>
      </c>
      <c r="E13032" t="inlineStr">
        <is>
          <t>LILLA EDET</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50665-2024</t>
        </is>
      </c>
      <c r="B13033" s="1" t="n">
        <v>45601.76715277778</v>
      </c>
      <c r="C13033" s="1" t="n">
        <v>46011</v>
      </c>
      <c r="D13033" t="inlineStr">
        <is>
          <t>VÄSTRA GÖTALANDS LÄN</t>
        </is>
      </c>
      <c r="E13033" t="inlineStr">
        <is>
          <t>ULRICEHAMN</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22452-2023</t>
        </is>
      </c>
      <c r="B13034" s="1" t="n">
        <v>45070.83295138889</v>
      </c>
      <c r="C13034" s="1" t="n">
        <v>46011</v>
      </c>
      <c r="D13034" t="inlineStr">
        <is>
          <t>VÄSTRA GÖTALANDS LÄN</t>
        </is>
      </c>
      <c r="E13034" t="inlineStr">
        <is>
          <t>MUNKEDAL</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22480-2023</t>
        </is>
      </c>
      <c r="B13035" s="1" t="n">
        <v>45071</v>
      </c>
      <c r="C13035" s="1" t="n">
        <v>46011</v>
      </c>
      <c r="D13035" t="inlineStr">
        <is>
          <t>VÄSTRA GÖTALANDS LÄN</t>
        </is>
      </c>
      <c r="E13035" t="inlineStr">
        <is>
          <t>ULRICEHAMN</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34155-2024</t>
        </is>
      </c>
      <c r="B13036" s="1" t="n">
        <v>45524.3860300926</v>
      </c>
      <c r="C13036" s="1" t="n">
        <v>46011</v>
      </c>
      <c r="D13036" t="inlineStr">
        <is>
          <t>VÄSTRA GÖTALANDS LÄN</t>
        </is>
      </c>
      <c r="E13036" t="inlineStr">
        <is>
          <t>ORUST</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31980-2024</t>
        </is>
      </c>
      <c r="B13037" s="1" t="n">
        <v>45510.56855324074</v>
      </c>
      <c r="C13037" s="1" t="n">
        <v>46011</v>
      </c>
      <c r="D13037" t="inlineStr">
        <is>
          <t>VÄSTRA GÖTALANDS LÄN</t>
        </is>
      </c>
      <c r="E13037" t="inlineStr">
        <is>
          <t>BORÅS</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15052-2023</t>
        </is>
      </c>
      <c r="B13038" s="1" t="n">
        <v>45015.67859953704</v>
      </c>
      <c r="C13038" s="1" t="n">
        <v>46011</v>
      </c>
      <c r="D13038" t="inlineStr">
        <is>
          <t>VÄSTRA GÖTALANDS LÄN</t>
        </is>
      </c>
      <c r="E13038" t="inlineStr">
        <is>
          <t>MARIESTAD</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4934-2023</t>
        </is>
      </c>
      <c r="B13039" s="1" t="n">
        <v>44958</v>
      </c>
      <c r="C13039" s="1" t="n">
        <v>46011</v>
      </c>
      <c r="D13039" t="inlineStr">
        <is>
          <t>VÄSTRA GÖTALANDS LÄN</t>
        </is>
      </c>
      <c r="E13039" t="inlineStr">
        <is>
          <t>BORÅS</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1021-2023</t>
        </is>
      </c>
      <c r="B13040" s="1" t="n">
        <v>44935</v>
      </c>
      <c r="C13040" s="1" t="n">
        <v>46011</v>
      </c>
      <c r="D13040" t="inlineStr">
        <is>
          <t>VÄSTRA GÖTALANDS LÄN</t>
        </is>
      </c>
      <c r="E13040" t="inlineStr">
        <is>
          <t>FÄRGELANDA</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22144-2023</t>
        </is>
      </c>
      <c r="B13041" s="1" t="n">
        <v>45068</v>
      </c>
      <c r="C13041" s="1" t="n">
        <v>46011</v>
      </c>
      <c r="D13041" t="inlineStr">
        <is>
          <t>VÄSTRA GÖTALANDS LÄN</t>
        </is>
      </c>
      <c r="E13041" t="inlineStr">
        <is>
          <t>TIDAHOLM</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61334-2022</t>
        </is>
      </c>
      <c r="B13042" s="1" t="n">
        <v>44915</v>
      </c>
      <c r="C13042" s="1" t="n">
        <v>46011</v>
      </c>
      <c r="D13042" t="inlineStr">
        <is>
          <t>VÄSTRA GÖTALANDS LÄN</t>
        </is>
      </c>
      <c r="E13042" t="inlineStr">
        <is>
          <t>BOLLEBYGD</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14309-2022</t>
        </is>
      </c>
      <c r="B13043" s="1" t="n">
        <v>44652</v>
      </c>
      <c r="C13043" s="1" t="n">
        <v>46011</v>
      </c>
      <c r="D13043" t="inlineStr">
        <is>
          <t>VÄSTRA GÖTALANDS LÄN</t>
        </is>
      </c>
      <c r="E13043" t="inlineStr">
        <is>
          <t>BORÅS</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14426-2022</t>
        </is>
      </c>
      <c r="B13044" s="1" t="n">
        <v>44652</v>
      </c>
      <c r="C13044" s="1" t="n">
        <v>46011</v>
      </c>
      <c r="D13044" t="inlineStr">
        <is>
          <t>VÄSTRA GÖTALANDS LÄN</t>
        </is>
      </c>
      <c r="E13044" t="inlineStr">
        <is>
          <t>MARK</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58703-2022</t>
        </is>
      </c>
      <c r="B13045" s="1" t="n">
        <v>44895</v>
      </c>
      <c r="C13045" s="1" t="n">
        <v>46011</v>
      </c>
      <c r="D13045" t="inlineStr">
        <is>
          <t>VÄSTRA GÖTALANDS LÄN</t>
        </is>
      </c>
      <c r="E13045" t="inlineStr">
        <is>
          <t>HERRLJUNGA</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69325-2020</t>
        </is>
      </c>
      <c r="B13046" s="1" t="n">
        <v>44193</v>
      </c>
      <c r="C13046" s="1" t="n">
        <v>46011</v>
      </c>
      <c r="D13046" t="inlineStr">
        <is>
          <t>VÄSTRA GÖTALANDS LÄN</t>
        </is>
      </c>
      <c r="E13046" t="inlineStr">
        <is>
          <t>ALE</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3000-2025</t>
        </is>
      </c>
      <c r="B13047" s="1" t="n">
        <v>45678.54986111111</v>
      </c>
      <c r="C13047" s="1" t="n">
        <v>46011</v>
      </c>
      <c r="D13047" t="inlineStr">
        <is>
          <t>VÄSTRA GÖTALANDS LÄN</t>
        </is>
      </c>
      <c r="E13047" t="inlineStr">
        <is>
          <t>BORÅS</t>
        </is>
      </c>
      <c r="F13047" t="inlineStr">
        <is>
          <t>Sveaskog</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1550-2023</t>
        </is>
      </c>
      <c r="B13048" s="1" t="n">
        <v>44937.58658564815</v>
      </c>
      <c r="C13048" s="1" t="n">
        <v>46011</v>
      </c>
      <c r="D13048" t="inlineStr">
        <is>
          <t>VÄSTRA GÖTALANDS LÄN</t>
        </is>
      </c>
      <c r="E13048" t="inlineStr">
        <is>
          <t>TÖREBODA</t>
        </is>
      </c>
      <c r="F13048" t="inlineStr">
        <is>
          <t>Övriga statliga verk och myndigheter</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1567-2023</t>
        </is>
      </c>
      <c r="B13049" s="1" t="n">
        <v>44937.60682870371</v>
      </c>
      <c r="C13049" s="1" t="n">
        <v>46011</v>
      </c>
      <c r="D13049" t="inlineStr">
        <is>
          <t>VÄSTRA GÖTALANDS LÄN</t>
        </is>
      </c>
      <c r="E13049" t="inlineStr">
        <is>
          <t>SKARA</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2993-2023</t>
        </is>
      </c>
      <c r="B13050" s="1" t="n">
        <v>44945.73416666667</v>
      </c>
      <c r="C13050" s="1" t="n">
        <v>46011</v>
      </c>
      <c r="D13050" t="inlineStr">
        <is>
          <t>VÄSTRA GÖTALANDS LÄN</t>
        </is>
      </c>
      <c r="E13050" t="inlineStr">
        <is>
          <t>ULRICEHAMN</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26695-2024</t>
        </is>
      </c>
      <c r="B13051" s="1" t="n">
        <v>45469</v>
      </c>
      <c r="C13051" s="1" t="n">
        <v>46011</v>
      </c>
      <c r="D13051" t="inlineStr">
        <is>
          <t>VÄSTRA GÖTALANDS LÄN</t>
        </is>
      </c>
      <c r="E13051" t="inlineStr">
        <is>
          <t>TIDAHOLM</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25762-2023</t>
        </is>
      </c>
      <c r="B13052" s="1" t="n">
        <v>45090.4546412037</v>
      </c>
      <c r="C13052" s="1" t="n">
        <v>46011</v>
      </c>
      <c r="D13052" t="inlineStr">
        <is>
          <t>VÄSTRA GÖTALANDS LÄN</t>
        </is>
      </c>
      <c r="E13052" t="inlineStr">
        <is>
          <t>LIDKÖPING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25764-2023</t>
        </is>
      </c>
      <c r="B13053" s="1" t="n">
        <v>45090.45520833333</v>
      </c>
      <c r="C13053" s="1" t="n">
        <v>46011</v>
      </c>
      <c r="D13053" t="inlineStr">
        <is>
          <t>VÄSTRA GÖTALANDS LÄN</t>
        </is>
      </c>
      <c r="E13053" t="inlineStr">
        <is>
          <t>VARA</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17172-2023</t>
        </is>
      </c>
      <c r="B13054" s="1" t="n">
        <v>45034.65365740741</v>
      </c>
      <c r="C13054" s="1" t="n">
        <v>46011</v>
      </c>
      <c r="D13054" t="inlineStr">
        <is>
          <t>VÄSTRA GÖTALANDS LÄN</t>
        </is>
      </c>
      <c r="E13054" t="inlineStr">
        <is>
          <t>VÄNERSBORG</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20438-2024</t>
        </is>
      </c>
      <c r="B13055" s="1" t="n">
        <v>45435</v>
      </c>
      <c r="C13055" s="1" t="n">
        <v>46011</v>
      </c>
      <c r="D13055" t="inlineStr">
        <is>
          <t>VÄSTRA GÖTALANDS LÄN</t>
        </is>
      </c>
      <c r="E13055" t="inlineStr">
        <is>
          <t>MARIESTAD</t>
        </is>
      </c>
      <c r="F13055" t="inlineStr">
        <is>
          <t>Kommuner</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20443-2024</t>
        </is>
      </c>
      <c r="B13056" s="1" t="n">
        <v>45435.62212962963</v>
      </c>
      <c r="C13056" s="1" t="n">
        <v>46011</v>
      </c>
      <c r="D13056" t="inlineStr">
        <is>
          <t>VÄSTRA GÖTALANDS LÄN</t>
        </is>
      </c>
      <c r="E13056" t="inlineStr">
        <is>
          <t>VARA</t>
        </is>
      </c>
      <c r="G13056" t="n">
        <v>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30477-2023</t>
        </is>
      </c>
      <c r="B13057" s="1" t="n">
        <v>45111</v>
      </c>
      <c r="C13057" s="1" t="n">
        <v>46011</v>
      </c>
      <c r="D13057" t="inlineStr">
        <is>
          <t>VÄSTRA GÖTALANDS LÄN</t>
        </is>
      </c>
      <c r="E13057" t="inlineStr">
        <is>
          <t>SVENLJUNGA</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149-2023</t>
        </is>
      </c>
      <c r="B13058" s="1" t="n">
        <v>44928.54091435186</v>
      </c>
      <c r="C13058" s="1" t="n">
        <v>46011</v>
      </c>
      <c r="D13058" t="inlineStr">
        <is>
          <t>VÄSTRA GÖTALANDS LÄN</t>
        </is>
      </c>
      <c r="E13058" t="inlineStr">
        <is>
          <t>FÄRGELANDA</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12918-2021</t>
        </is>
      </c>
      <c r="B13059" s="1" t="n">
        <v>44271</v>
      </c>
      <c r="C13059" s="1" t="n">
        <v>46011</v>
      </c>
      <c r="D13059" t="inlineStr">
        <is>
          <t>VÄSTRA GÖTALANDS LÄN</t>
        </is>
      </c>
      <c r="E13059" t="inlineStr">
        <is>
          <t>VÅRGÅRDA</t>
        </is>
      </c>
      <c r="G13059" t="n">
        <v>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60926-2022</t>
        </is>
      </c>
      <c r="B13060" s="1" t="n">
        <v>44914.61563657408</v>
      </c>
      <c r="C13060" s="1" t="n">
        <v>46011</v>
      </c>
      <c r="D13060" t="inlineStr">
        <is>
          <t>VÄSTRA GÖTALANDS LÄN</t>
        </is>
      </c>
      <c r="E13060" t="inlineStr">
        <is>
          <t>BENGTSFORS</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13432-2024</t>
        </is>
      </c>
      <c r="B13061" s="1" t="n">
        <v>45387.48319444444</v>
      </c>
      <c r="C13061" s="1" t="n">
        <v>46011</v>
      </c>
      <c r="D13061" t="inlineStr">
        <is>
          <t>VÄSTRA GÖTALANDS LÄN</t>
        </is>
      </c>
      <c r="E13061" t="inlineStr">
        <is>
          <t>TANUM</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36679-2023</t>
        </is>
      </c>
      <c r="B13062" s="1" t="n">
        <v>45153.60082175926</v>
      </c>
      <c r="C13062" s="1" t="n">
        <v>46011</v>
      </c>
      <c r="D13062" t="inlineStr">
        <is>
          <t>VÄSTRA GÖTALANDS LÄN</t>
        </is>
      </c>
      <c r="E13062" t="inlineStr">
        <is>
          <t>HERRLJUNGA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2391-2025</t>
        </is>
      </c>
      <c r="B13063" s="1" t="n">
        <v>45674.33168981481</v>
      </c>
      <c r="C13063" s="1" t="n">
        <v>46011</v>
      </c>
      <c r="D13063" t="inlineStr">
        <is>
          <t>VÄSTRA GÖTALANDS LÄN</t>
        </is>
      </c>
      <c r="E13063" t="inlineStr">
        <is>
          <t>MARIESTAD</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1886-2023</t>
        </is>
      </c>
      <c r="B13064" s="1" t="n">
        <v>44939.33954861111</v>
      </c>
      <c r="C13064" s="1" t="n">
        <v>46011</v>
      </c>
      <c r="D13064" t="inlineStr">
        <is>
          <t>VÄSTRA GÖTALANDS LÄN</t>
        </is>
      </c>
      <c r="E13064" t="inlineStr">
        <is>
          <t>MELLERUD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2733-2021</t>
        </is>
      </c>
      <c r="B13065" s="1" t="n">
        <v>44215</v>
      </c>
      <c r="C13065" s="1" t="n">
        <v>46011</v>
      </c>
      <c r="D13065" t="inlineStr">
        <is>
          <t>VÄSTRA GÖTALANDS LÄN</t>
        </is>
      </c>
      <c r="E13065" t="inlineStr">
        <is>
          <t>ULRICEHAMN</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2750-2021</t>
        </is>
      </c>
      <c r="B13066" s="1" t="n">
        <v>44215</v>
      </c>
      <c r="C13066" s="1" t="n">
        <v>46011</v>
      </c>
      <c r="D13066" t="inlineStr">
        <is>
          <t>VÄSTRA GÖTALANDS LÄN</t>
        </is>
      </c>
      <c r="E13066" t="inlineStr">
        <is>
          <t>FÄRGELANDA</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45364-2024</t>
        </is>
      </c>
      <c r="B13067" s="1" t="n">
        <v>45576</v>
      </c>
      <c r="C13067" s="1" t="n">
        <v>46011</v>
      </c>
      <c r="D13067" t="inlineStr">
        <is>
          <t>VÄSTRA GÖTALANDS LÄN</t>
        </is>
      </c>
      <c r="E13067" t="inlineStr">
        <is>
          <t>BORÅS</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8819-2025</t>
        </is>
      </c>
      <c r="B13068" s="1" t="n">
        <v>45712.75179398148</v>
      </c>
      <c r="C13068" s="1" t="n">
        <v>46011</v>
      </c>
      <c r="D13068" t="inlineStr">
        <is>
          <t>VÄSTRA GÖTALANDS LÄN</t>
        </is>
      </c>
      <c r="E13068" t="inlineStr">
        <is>
          <t>FÄRGELANDA</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63470-2023</t>
        </is>
      </c>
      <c r="B13069" s="1" t="n">
        <v>45274</v>
      </c>
      <c r="C13069" s="1" t="n">
        <v>46011</v>
      </c>
      <c r="D13069" t="inlineStr">
        <is>
          <t>VÄSTRA GÖTALANDS LÄN</t>
        </is>
      </c>
      <c r="E13069" t="inlineStr">
        <is>
          <t>FALKÖPING</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18452-2025</t>
        </is>
      </c>
      <c r="B13070" s="1" t="n">
        <v>45762.66623842593</v>
      </c>
      <c r="C13070" s="1" t="n">
        <v>46011</v>
      </c>
      <c r="D13070" t="inlineStr">
        <is>
          <t>VÄSTRA GÖTALANDS LÄN</t>
        </is>
      </c>
      <c r="E13070" t="inlineStr">
        <is>
          <t>TRANEMO</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2872-2023</t>
        </is>
      </c>
      <c r="B13071" s="1" t="n">
        <v>44945.44319444444</v>
      </c>
      <c r="C13071" s="1" t="n">
        <v>46011</v>
      </c>
      <c r="D13071" t="inlineStr">
        <is>
          <t>VÄSTRA GÖTALANDS LÄN</t>
        </is>
      </c>
      <c r="E13071" t="inlineStr">
        <is>
          <t>LIDKÖPING</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18791-2023</t>
        </is>
      </c>
      <c r="B13072" s="1" t="n">
        <v>45044</v>
      </c>
      <c r="C13072" s="1" t="n">
        <v>46011</v>
      </c>
      <c r="D13072" t="inlineStr">
        <is>
          <t>VÄSTRA GÖTALANDS LÄN</t>
        </is>
      </c>
      <c r="E13072" t="inlineStr">
        <is>
          <t>ORUST</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18878-2023</t>
        </is>
      </c>
      <c r="B13073" s="1" t="n">
        <v>45044</v>
      </c>
      <c r="C13073" s="1" t="n">
        <v>46011</v>
      </c>
      <c r="D13073" t="inlineStr">
        <is>
          <t>VÄSTRA GÖTALANDS LÄN</t>
        </is>
      </c>
      <c r="E13073" t="inlineStr">
        <is>
          <t>TRANEMO</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22914-2022</t>
        </is>
      </c>
      <c r="B13074" s="1" t="n">
        <v>44715</v>
      </c>
      <c r="C13074" s="1" t="n">
        <v>46011</v>
      </c>
      <c r="D13074" t="inlineStr">
        <is>
          <t>VÄSTRA GÖTALANDS LÄN</t>
        </is>
      </c>
      <c r="E13074" t="inlineStr">
        <is>
          <t>MARK</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13960-2024</t>
        </is>
      </c>
      <c r="B13075" s="1" t="n">
        <v>45392</v>
      </c>
      <c r="C13075" s="1" t="n">
        <v>46011</v>
      </c>
      <c r="D13075" t="inlineStr">
        <is>
          <t>VÄSTRA GÖTALANDS LÄN</t>
        </is>
      </c>
      <c r="E13075" t="inlineStr">
        <is>
          <t>FÄRGELANDA</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18208-2022</t>
        </is>
      </c>
      <c r="B13076" s="1" t="n">
        <v>44684.94835648148</v>
      </c>
      <c r="C13076" s="1" t="n">
        <v>46011</v>
      </c>
      <c r="D13076" t="inlineStr">
        <is>
          <t>VÄSTRA GÖTALANDS LÄN</t>
        </is>
      </c>
      <c r="E13076" t="inlineStr">
        <is>
          <t>TRANEMO</t>
        </is>
      </c>
      <c r="G13076" t="n">
        <v>5.9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29222-2022</t>
        </is>
      </c>
      <c r="B13077" s="1" t="n">
        <v>44750</v>
      </c>
      <c r="C13077" s="1" t="n">
        <v>46011</v>
      </c>
      <c r="D13077" t="inlineStr">
        <is>
          <t>VÄSTRA GÖTALANDS LÄN</t>
        </is>
      </c>
      <c r="E13077" t="inlineStr">
        <is>
          <t>SKÖVDE</t>
        </is>
      </c>
      <c r="F13077" t="inlineStr">
        <is>
          <t>Kommuner</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23846-2022</t>
        </is>
      </c>
      <c r="B13078" s="1" t="n">
        <v>44722</v>
      </c>
      <c r="C13078" s="1" t="n">
        <v>46011</v>
      </c>
      <c r="D13078" t="inlineStr">
        <is>
          <t>VÄSTRA GÖTALANDS LÄN</t>
        </is>
      </c>
      <c r="E13078" t="inlineStr">
        <is>
          <t>FALKÖPING</t>
        </is>
      </c>
      <c r="G13078" t="n">
        <v>9.1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52027-2024</t>
        </is>
      </c>
      <c r="B13079" s="1" t="n">
        <v>45607.97825231482</v>
      </c>
      <c r="C13079" s="1" t="n">
        <v>46011</v>
      </c>
      <c r="D13079" t="inlineStr">
        <is>
          <t>VÄSTRA GÖTALANDS LÄN</t>
        </is>
      </c>
      <c r="E13079" t="inlineStr">
        <is>
          <t>MARIESTAD</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52688-2024</t>
        </is>
      </c>
      <c r="B13080" s="1" t="n">
        <v>45610.39559027777</v>
      </c>
      <c r="C13080" s="1" t="n">
        <v>46011</v>
      </c>
      <c r="D13080" t="inlineStr">
        <is>
          <t>VÄSTRA GÖTALANDS LÄN</t>
        </is>
      </c>
      <c r="E13080" t="inlineStr">
        <is>
          <t>TROLLHÄTTAN</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16205-2023</t>
        </is>
      </c>
      <c r="B13081" s="1" t="n">
        <v>45028.35108796296</v>
      </c>
      <c r="C13081" s="1" t="n">
        <v>46011</v>
      </c>
      <c r="D13081" t="inlineStr">
        <is>
          <t>VÄSTRA GÖTALANDS LÄN</t>
        </is>
      </c>
      <c r="E13081" t="inlineStr">
        <is>
          <t>UDDEVALLA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16927-2021</t>
        </is>
      </c>
      <c r="B13082" s="1" t="n">
        <v>44295.51916666667</v>
      </c>
      <c r="C13082" s="1" t="n">
        <v>46011</v>
      </c>
      <c r="D13082" t="inlineStr">
        <is>
          <t>VÄSTRA GÖTALANDS LÄN</t>
        </is>
      </c>
      <c r="E13082" t="inlineStr">
        <is>
          <t>HERRLJUNGA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32843-2022</t>
        </is>
      </c>
      <c r="B13083" s="1" t="n">
        <v>44784.4495949074</v>
      </c>
      <c r="C13083" s="1" t="n">
        <v>46011</v>
      </c>
      <c r="D13083" t="inlineStr">
        <is>
          <t>VÄSTRA GÖTALANDS LÄN</t>
        </is>
      </c>
      <c r="E13083" t="inlineStr">
        <is>
          <t>VÄNERSBORG</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32866-2022</t>
        </is>
      </c>
      <c r="B13084" s="1" t="n">
        <v>44784.50711805555</v>
      </c>
      <c r="C13084" s="1" t="n">
        <v>46011</v>
      </c>
      <c r="D13084" t="inlineStr">
        <is>
          <t>VÄSTRA GÖTALANDS LÄN</t>
        </is>
      </c>
      <c r="E13084" t="inlineStr">
        <is>
          <t>HÄRRYDA</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2440-2025</t>
        </is>
      </c>
      <c r="B13085" s="1" t="n">
        <v>45674.41945601852</v>
      </c>
      <c r="C13085" s="1" t="n">
        <v>46011</v>
      </c>
      <c r="D13085" t="inlineStr">
        <is>
          <t>VÄSTRA GÖTALANDS LÄN</t>
        </is>
      </c>
      <c r="E13085" t="inlineStr">
        <is>
          <t>ÅMÅL</t>
        </is>
      </c>
      <c r="G13085" t="n">
        <v>9.6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20357-2022</t>
        </is>
      </c>
      <c r="B13086" s="1" t="n">
        <v>44699</v>
      </c>
      <c r="C13086" s="1" t="n">
        <v>46011</v>
      </c>
      <c r="D13086" t="inlineStr">
        <is>
          <t>VÄSTRA GÖTALANDS LÄN</t>
        </is>
      </c>
      <c r="E13086" t="inlineStr">
        <is>
          <t>ULRICEHAMN</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28888-2023</t>
        </is>
      </c>
      <c r="B13087" s="1" t="n">
        <v>45104</v>
      </c>
      <c r="C13087" s="1" t="n">
        <v>46011</v>
      </c>
      <c r="D13087" t="inlineStr">
        <is>
          <t>VÄSTRA GÖTALANDS LÄN</t>
        </is>
      </c>
      <c r="E13087" t="inlineStr">
        <is>
          <t>ULRICEHAMN</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27444-2023</t>
        </is>
      </c>
      <c r="B13088" s="1" t="n">
        <v>45097.40554398148</v>
      </c>
      <c r="C13088" s="1" t="n">
        <v>46011</v>
      </c>
      <c r="D13088" t="inlineStr">
        <is>
          <t>VÄSTRA GÖTALANDS LÄN</t>
        </is>
      </c>
      <c r="E13088" t="inlineStr">
        <is>
          <t>MARIESTAD</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5866-2023</t>
        </is>
      </c>
      <c r="B13089" s="1" t="n">
        <v>44958</v>
      </c>
      <c r="C13089" s="1" t="n">
        <v>46011</v>
      </c>
      <c r="D13089" t="inlineStr">
        <is>
          <t>VÄSTRA GÖTALANDS LÄN</t>
        </is>
      </c>
      <c r="E13089" t="inlineStr">
        <is>
          <t>MUNKEDAL</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6013-2023</t>
        </is>
      </c>
      <c r="B13090" s="1" t="n">
        <v>44964</v>
      </c>
      <c r="C13090" s="1" t="n">
        <v>46011</v>
      </c>
      <c r="D13090" t="inlineStr">
        <is>
          <t>VÄSTRA GÖTALANDS LÄN</t>
        </is>
      </c>
      <c r="E13090" t="inlineStr">
        <is>
          <t>SVENLJUNGA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9559-2023</t>
        </is>
      </c>
      <c r="B13091" s="1" t="n">
        <v>44982</v>
      </c>
      <c r="C13091" s="1" t="n">
        <v>46011</v>
      </c>
      <c r="D13091" t="inlineStr">
        <is>
          <t>VÄSTRA GÖTALANDS LÄN</t>
        </is>
      </c>
      <c r="E13091" t="inlineStr">
        <is>
          <t>MARK</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20684-2024</t>
        </is>
      </c>
      <c r="B13092" s="1" t="n">
        <v>45436.58445601852</v>
      </c>
      <c r="C13092" s="1" t="n">
        <v>46011</v>
      </c>
      <c r="D13092" t="inlineStr">
        <is>
          <t>VÄSTRA GÖTALANDS LÄN</t>
        </is>
      </c>
      <c r="E13092" t="inlineStr">
        <is>
          <t>LYSEKIL</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28021-2023</t>
        </is>
      </c>
      <c r="B13093" s="1" t="n">
        <v>45098.95337962963</v>
      </c>
      <c r="C13093" s="1" t="n">
        <v>46011</v>
      </c>
      <c r="D13093" t="inlineStr">
        <is>
          <t>VÄSTRA GÖTALANDS LÄN</t>
        </is>
      </c>
      <c r="E13093" t="inlineStr">
        <is>
          <t>LILLA EDET</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2706-2023</t>
        </is>
      </c>
      <c r="B13094" s="1" t="n">
        <v>44944</v>
      </c>
      <c r="C13094" s="1" t="n">
        <v>46011</v>
      </c>
      <c r="D13094" t="inlineStr">
        <is>
          <t>VÄSTRA GÖTALANDS LÄN</t>
        </is>
      </c>
      <c r="E13094" t="inlineStr">
        <is>
          <t>TANUM</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11373-2025</t>
        </is>
      </c>
      <c r="B13095" s="1" t="n">
        <v>45726.5531712963</v>
      </c>
      <c r="C13095" s="1" t="n">
        <v>46011</v>
      </c>
      <c r="D13095" t="inlineStr">
        <is>
          <t>VÄSTRA GÖTALANDS LÄN</t>
        </is>
      </c>
      <c r="E13095" t="inlineStr">
        <is>
          <t>SVENLJUNGA</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2763-2023</t>
        </is>
      </c>
      <c r="B13096" s="1" t="n">
        <v>44944.62079861111</v>
      </c>
      <c r="C13096" s="1" t="n">
        <v>46011</v>
      </c>
      <c r="D13096" t="inlineStr">
        <is>
          <t>VÄSTRA GÖTALANDS LÄN</t>
        </is>
      </c>
      <c r="E13096" t="inlineStr">
        <is>
          <t>TIBRO</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22168-2023</t>
        </is>
      </c>
      <c r="B13097" s="1" t="n">
        <v>45065</v>
      </c>
      <c r="C13097" s="1" t="n">
        <v>46011</v>
      </c>
      <c r="D13097" t="inlineStr">
        <is>
          <t>VÄSTRA GÖTALANDS LÄN</t>
        </is>
      </c>
      <c r="E13097" t="inlineStr">
        <is>
          <t>ÅMÅL</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13571-2025</t>
        </is>
      </c>
      <c r="B13098" s="1" t="n">
        <v>45736.57563657407</v>
      </c>
      <c r="C13098" s="1" t="n">
        <v>46011</v>
      </c>
      <c r="D13098" t="inlineStr">
        <is>
          <t>VÄSTRA GÖTALANDS LÄN</t>
        </is>
      </c>
      <c r="E13098" t="inlineStr">
        <is>
          <t>HERRLJUNGA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26812-2024</t>
        </is>
      </c>
      <c r="B13099" s="1" t="n">
        <v>45470.54344907407</v>
      </c>
      <c r="C13099" s="1" t="n">
        <v>46011</v>
      </c>
      <c r="D13099" t="inlineStr">
        <is>
          <t>VÄSTRA GÖTALANDS LÄN</t>
        </is>
      </c>
      <c r="E13099" t="inlineStr">
        <is>
          <t>KUNGÄLV</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5154-2025</t>
        </is>
      </c>
      <c r="B13100" s="1" t="n">
        <v>45691.60403935185</v>
      </c>
      <c r="C13100" s="1" t="n">
        <v>46011</v>
      </c>
      <c r="D13100" t="inlineStr">
        <is>
          <t>VÄSTRA GÖTALANDS LÄN</t>
        </is>
      </c>
      <c r="E13100" t="inlineStr">
        <is>
          <t>ULRICEHAMN</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49071-2021</t>
        </is>
      </c>
      <c r="B13101" s="1" t="n">
        <v>44453.61770833333</v>
      </c>
      <c r="C13101" s="1" t="n">
        <v>46011</v>
      </c>
      <c r="D13101" t="inlineStr">
        <is>
          <t>VÄSTRA GÖTALANDS LÄN</t>
        </is>
      </c>
      <c r="E13101" t="inlineStr">
        <is>
          <t>SVENLJUNGA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4800-2025</t>
        </is>
      </c>
      <c r="B13102" s="1" t="n">
        <v>45688.59099537037</v>
      </c>
      <c r="C13102" s="1" t="n">
        <v>46011</v>
      </c>
      <c r="D13102" t="inlineStr">
        <is>
          <t>VÄSTRA GÖTALANDS LÄN</t>
        </is>
      </c>
      <c r="E13102" t="inlineStr">
        <is>
          <t>MARK</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49191-2021</t>
        </is>
      </c>
      <c r="B13103" s="1" t="n">
        <v>44454.33140046296</v>
      </c>
      <c r="C13103" s="1" t="n">
        <v>46011</v>
      </c>
      <c r="D13103" t="inlineStr">
        <is>
          <t>VÄSTRA GÖTALANDS LÄN</t>
        </is>
      </c>
      <c r="E13103" t="inlineStr">
        <is>
          <t>BORÅS</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46876-2022</t>
        </is>
      </c>
      <c r="B13104" s="1" t="n">
        <v>44851.61994212963</v>
      </c>
      <c r="C13104" s="1" t="n">
        <v>46011</v>
      </c>
      <c r="D13104" t="inlineStr">
        <is>
          <t>VÄSTRA GÖTALANDS LÄN</t>
        </is>
      </c>
      <c r="E13104" t="inlineStr">
        <is>
          <t>LIDKÖPING</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18596-2024</t>
        </is>
      </c>
      <c r="B13105" s="1" t="n">
        <v>45425</v>
      </c>
      <c r="C13105" s="1" t="n">
        <v>46011</v>
      </c>
      <c r="D13105" t="inlineStr">
        <is>
          <t>VÄSTRA GÖTALANDS LÄN</t>
        </is>
      </c>
      <c r="E13105" t="inlineStr">
        <is>
          <t>TIDAHOLM</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21303-2024</t>
        </is>
      </c>
      <c r="B13106" s="1" t="n">
        <v>45440.6750462963</v>
      </c>
      <c r="C13106" s="1" t="n">
        <v>46011</v>
      </c>
      <c r="D13106" t="inlineStr">
        <is>
          <t>VÄSTRA GÖTALANDS LÄN</t>
        </is>
      </c>
      <c r="E13106" t="inlineStr">
        <is>
          <t>VARA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13586-2024</t>
        </is>
      </c>
      <c r="B13107" s="1" t="n">
        <v>45389.85628472222</v>
      </c>
      <c r="C13107" s="1" t="n">
        <v>46011</v>
      </c>
      <c r="D13107" t="inlineStr">
        <is>
          <t>VÄSTRA GÖTALANDS LÄN</t>
        </is>
      </c>
      <c r="E13107" t="inlineStr">
        <is>
          <t>STENUNGSUND</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37363-2022</t>
        </is>
      </c>
      <c r="B13108" s="1" t="n">
        <v>44809</v>
      </c>
      <c r="C13108" s="1" t="n">
        <v>46011</v>
      </c>
      <c r="D13108" t="inlineStr">
        <is>
          <t>VÄSTRA GÖTALANDS LÄN</t>
        </is>
      </c>
      <c r="E13108" t="inlineStr">
        <is>
          <t>KARLSBORG</t>
        </is>
      </c>
      <c r="F13108" t="inlineStr">
        <is>
          <t>Sveaskog</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3457-2024</t>
        </is>
      </c>
      <c r="B13109" s="1" t="n">
        <v>45320.39425925926</v>
      </c>
      <c r="C13109" s="1" t="n">
        <v>46011</v>
      </c>
      <c r="D13109" t="inlineStr">
        <is>
          <t>VÄSTRA GÖTALANDS LÄN</t>
        </is>
      </c>
      <c r="E13109" t="inlineStr">
        <is>
          <t>ULRICEHAMN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15192-2023</t>
        </is>
      </c>
      <c r="B13110" s="1" t="n">
        <v>45016.7299537037</v>
      </c>
      <c r="C13110" s="1" t="n">
        <v>46011</v>
      </c>
      <c r="D13110" t="inlineStr">
        <is>
          <t>VÄSTRA GÖTALANDS LÄN</t>
        </is>
      </c>
      <c r="E13110" t="inlineStr">
        <is>
          <t>HERRLJUNGA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7652-2023</t>
        </is>
      </c>
      <c r="B13111" s="1" t="n">
        <v>44972</v>
      </c>
      <c r="C13111" s="1" t="n">
        <v>46011</v>
      </c>
      <c r="D13111" t="inlineStr">
        <is>
          <t>VÄSTRA GÖTALANDS LÄN</t>
        </is>
      </c>
      <c r="E13111" t="inlineStr">
        <is>
          <t>KARLSBORG</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7680-2023</t>
        </is>
      </c>
      <c r="B13112" s="1" t="n">
        <v>44972</v>
      </c>
      <c r="C13112" s="1" t="n">
        <v>46011</v>
      </c>
      <c r="D13112" t="inlineStr">
        <is>
          <t>VÄSTRA GÖTALANDS LÄN</t>
        </is>
      </c>
      <c r="E13112" t="inlineStr">
        <is>
          <t>TÖREBODA</t>
        </is>
      </c>
      <c r="G13112" t="n">
        <v>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28183-2022</t>
        </is>
      </c>
      <c r="B13113" s="1" t="n">
        <v>44746</v>
      </c>
      <c r="C13113" s="1" t="n">
        <v>46011</v>
      </c>
      <c r="D13113" t="inlineStr">
        <is>
          <t>VÄSTRA GÖTALANDS LÄN</t>
        </is>
      </c>
      <c r="E13113" t="inlineStr">
        <is>
          <t>TÖREBODA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28190-2022</t>
        </is>
      </c>
      <c r="B13114" s="1" t="n">
        <v>44746.58916666666</v>
      </c>
      <c r="C13114" s="1" t="n">
        <v>46011</v>
      </c>
      <c r="D13114" t="inlineStr">
        <is>
          <t>VÄSTRA GÖTALANDS LÄN</t>
        </is>
      </c>
      <c r="E13114" t="inlineStr">
        <is>
          <t>VÄNERSBORG</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67134-2021</t>
        </is>
      </c>
      <c r="B13115" s="1" t="n">
        <v>44523.37474537037</v>
      </c>
      <c r="C13115" s="1" t="n">
        <v>46011</v>
      </c>
      <c r="D13115" t="inlineStr">
        <is>
          <t>VÄSTRA GÖTALANDS LÄN</t>
        </is>
      </c>
      <c r="E13115" t="inlineStr">
        <is>
          <t>SKÖVDE</t>
        </is>
      </c>
      <c r="F13115" t="inlineStr">
        <is>
          <t>Sveaskog</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42438-2024</t>
        </is>
      </c>
      <c r="B13116" s="1" t="n">
        <v>45565</v>
      </c>
      <c r="C13116" s="1" t="n">
        <v>46011</v>
      </c>
      <c r="D13116" t="inlineStr">
        <is>
          <t>VÄSTRA GÖTALANDS LÄN</t>
        </is>
      </c>
      <c r="E13116" t="inlineStr">
        <is>
          <t>ULRICEHAMN</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41725-2024</t>
        </is>
      </c>
      <c r="B13117" s="1" t="n">
        <v>45560.86376157407</v>
      </c>
      <c r="C13117" s="1" t="n">
        <v>46011</v>
      </c>
      <c r="D13117" t="inlineStr">
        <is>
          <t>VÄSTRA GÖTALANDS LÄN</t>
        </is>
      </c>
      <c r="E13117" t="inlineStr">
        <is>
          <t>HÄRRYDA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41726-2024</t>
        </is>
      </c>
      <c r="B13118" s="1" t="n">
        <v>45560.87462962963</v>
      </c>
      <c r="C13118" s="1" t="n">
        <v>46011</v>
      </c>
      <c r="D13118" t="inlineStr">
        <is>
          <t>VÄSTRA GÖTALANDS LÄN</t>
        </is>
      </c>
      <c r="E13118" t="inlineStr">
        <is>
          <t>ÅMÅL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24185-2023</t>
        </is>
      </c>
      <c r="B13119" s="1" t="n">
        <v>45076</v>
      </c>
      <c r="C13119" s="1" t="n">
        <v>46011</v>
      </c>
      <c r="D13119" t="inlineStr">
        <is>
          <t>VÄSTRA GÖTALANDS LÄN</t>
        </is>
      </c>
      <c r="E13119" t="inlineStr">
        <is>
          <t>MUNKEDAL</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49139-2024</t>
        </is>
      </c>
      <c r="B13120" s="1" t="n">
        <v>45594.70923611111</v>
      </c>
      <c r="C13120" s="1" t="n">
        <v>46011</v>
      </c>
      <c r="D13120" t="inlineStr">
        <is>
          <t>VÄSTRA GÖTALANDS LÄN</t>
        </is>
      </c>
      <c r="E13120" t="inlineStr">
        <is>
          <t>UDDEVALLA</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54931-2024</t>
        </is>
      </c>
      <c r="B13121" s="1" t="n">
        <v>45618.74254629629</v>
      </c>
      <c r="C13121" s="1" t="n">
        <v>46011</v>
      </c>
      <c r="D13121" t="inlineStr">
        <is>
          <t>VÄSTRA GÖTALANDS LÄN</t>
        </is>
      </c>
      <c r="E13121" t="inlineStr">
        <is>
          <t>STENUNGSUND</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54933-2024</t>
        </is>
      </c>
      <c r="B13122" s="1" t="n">
        <v>45618.77943287037</v>
      </c>
      <c r="C13122" s="1" t="n">
        <v>46011</v>
      </c>
      <c r="D13122" t="inlineStr">
        <is>
          <t>VÄSTRA GÖTALANDS LÄN</t>
        </is>
      </c>
      <c r="E13122" t="inlineStr">
        <is>
          <t>MUNKEDAL</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15205-2022</t>
        </is>
      </c>
      <c r="B13123" s="1" t="n">
        <v>44658.64395833333</v>
      </c>
      <c r="C13123" s="1" t="n">
        <v>46011</v>
      </c>
      <c r="D13123" t="inlineStr">
        <is>
          <t>VÄSTRA GÖTALANDS LÄN</t>
        </is>
      </c>
      <c r="E13123" t="inlineStr">
        <is>
          <t>TRANEMO</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62360-2021</t>
        </is>
      </c>
      <c r="B13124" s="1" t="n">
        <v>44503.45417824074</v>
      </c>
      <c r="C13124" s="1" t="n">
        <v>46011</v>
      </c>
      <c r="D13124" t="inlineStr">
        <is>
          <t>VÄSTRA GÖTALANDS LÄN</t>
        </is>
      </c>
      <c r="E13124" t="inlineStr">
        <is>
          <t>ESSUNGA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42054-2023</t>
        </is>
      </c>
      <c r="B13125" s="1" t="n">
        <v>45177</v>
      </c>
      <c r="C13125" s="1" t="n">
        <v>46011</v>
      </c>
      <c r="D13125" t="inlineStr">
        <is>
          <t>VÄSTRA GÖTALANDS LÄN</t>
        </is>
      </c>
      <c r="E13125" t="inlineStr">
        <is>
          <t>ALINGSÅS</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42116-2023</t>
        </is>
      </c>
      <c r="B13126" s="1" t="n">
        <v>45174</v>
      </c>
      <c r="C13126" s="1" t="n">
        <v>46011</v>
      </c>
      <c r="D13126" t="inlineStr">
        <is>
          <t>VÄSTRA GÖTALANDS LÄN</t>
        </is>
      </c>
      <c r="E13126" t="inlineStr">
        <is>
          <t>TRANEMO</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28866-2022</t>
        </is>
      </c>
      <c r="B13127" s="1" t="n">
        <v>44749.51043981482</v>
      </c>
      <c r="C13127" s="1" t="n">
        <v>46011</v>
      </c>
      <c r="D13127" t="inlineStr">
        <is>
          <t>VÄSTRA GÖTALANDS LÄN</t>
        </is>
      </c>
      <c r="E13127" t="inlineStr">
        <is>
          <t>ÅMÅL</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8980-2023</t>
        </is>
      </c>
      <c r="B13128" s="1" t="n">
        <v>44979.53782407408</v>
      </c>
      <c r="C13128" s="1" t="n">
        <v>46011</v>
      </c>
      <c r="D13128" t="inlineStr">
        <is>
          <t>VÄSTRA GÖTALANDS LÄN</t>
        </is>
      </c>
      <c r="E13128" t="inlineStr">
        <is>
          <t>ALINGSÅS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42712-2023</t>
        </is>
      </c>
      <c r="B13129" s="1" t="n">
        <v>45181.61869212963</v>
      </c>
      <c r="C13129" s="1" t="n">
        <v>46011</v>
      </c>
      <c r="D13129" t="inlineStr">
        <is>
          <t>VÄSTRA GÖTALANDS LÄN</t>
        </is>
      </c>
      <c r="E13129" t="inlineStr">
        <is>
          <t>ORUST</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6268-2025</t>
        </is>
      </c>
      <c r="B13130" s="1" t="n">
        <v>45698.60086805555</v>
      </c>
      <c r="C13130" s="1" t="n">
        <v>46011</v>
      </c>
      <c r="D13130" t="inlineStr">
        <is>
          <t>VÄSTRA GÖTALANDS LÄN</t>
        </is>
      </c>
      <c r="E13130" t="inlineStr">
        <is>
          <t>DALS-ED</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13381-2023</t>
        </is>
      </c>
      <c r="B13131" s="1" t="n">
        <v>45005</v>
      </c>
      <c r="C13131" s="1" t="n">
        <v>46011</v>
      </c>
      <c r="D13131" t="inlineStr">
        <is>
          <t>VÄSTRA GÖTALANDS LÄN</t>
        </is>
      </c>
      <c r="E13131" t="inlineStr">
        <is>
          <t>UDDEVALLA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1455-2025</t>
        </is>
      </c>
      <c r="B13132" s="1" t="n">
        <v>45670.31842592593</v>
      </c>
      <c r="C13132" s="1" t="n">
        <v>46011</v>
      </c>
      <c r="D13132" t="inlineStr">
        <is>
          <t>VÄSTRA GÖTALANDS LÄN</t>
        </is>
      </c>
      <c r="E13132" t="inlineStr">
        <is>
          <t>LIDKÖPING</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1456-2025</t>
        </is>
      </c>
      <c r="B13133" s="1" t="n">
        <v>45670.3232175926</v>
      </c>
      <c r="C13133" s="1" t="n">
        <v>46011</v>
      </c>
      <c r="D13133" t="inlineStr">
        <is>
          <t>VÄSTRA GÖTALANDS LÄN</t>
        </is>
      </c>
      <c r="E13133" t="inlineStr">
        <is>
          <t>TRANEMO</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15320-2025</t>
        </is>
      </c>
      <c r="B13134" s="1" t="n">
        <v>45747.31962962963</v>
      </c>
      <c r="C13134" s="1" t="n">
        <v>46011</v>
      </c>
      <c r="D13134" t="inlineStr">
        <is>
          <t>VÄSTRA GÖTALANDS LÄN</t>
        </is>
      </c>
      <c r="E13134" t="inlineStr">
        <is>
          <t>SVENLJUNGA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19382-2023</t>
        </is>
      </c>
      <c r="B13135" s="1" t="n">
        <v>45049</v>
      </c>
      <c r="C13135" s="1" t="n">
        <v>46011</v>
      </c>
      <c r="D13135" t="inlineStr">
        <is>
          <t>VÄSTRA GÖTALANDS LÄN</t>
        </is>
      </c>
      <c r="E13135" t="inlineStr">
        <is>
          <t>DALS-ED</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19384-2023</t>
        </is>
      </c>
      <c r="B13136" s="1" t="n">
        <v>45049</v>
      </c>
      <c r="C13136" s="1" t="n">
        <v>46011</v>
      </c>
      <c r="D13136" t="inlineStr">
        <is>
          <t>VÄSTRA GÖTALANDS LÄN</t>
        </is>
      </c>
      <c r="E13136" t="inlineStr">
        <is>
          <t>TIBRO</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19386-2023</t>
        </is>
      </c>
      <c r="B13137" s="1" t="n">
        <v>45049</v>
      </c>
      <c r="C13137" s="1" t="n">
        <v>46011</v>
      </c>
      <c r="D13137" t="inlineStr">
        <is>
          <t>VÄSTRA GÖTALANDS LÄN</t>
        </is>
      </c>
      <c r="E13137" t="inlineStr">
        <is>
          <t>FÄRGELANDA</t>
        </is>
      </c>
      <c r="G13137" t="n">
        <v>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19492-2023</t>
        </is>
      </c>
      <c r="B13138" s="1" t="n">
        <v>45050.45886574074</v>
      </c>
      <c r="C13138" s="1" t="n">
        <v>46011</v>
      </c>
      <c r="D13138" t="inlineStr">
        <is>
          <t>VÄSTRA GÖTALANDS LÄN</t>
        </is>
      </c>
      <c r="E13138" t="inlineStr">
        <is>
          <t>TRANEMO</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30456-2023</t>
        </is>
      </c>
      <c r="B13139" s="1" t="n">
        <v>45111.57811342592</v>
      </c>
      <c r="C13139" s="1" t="n">
        <v>46011</v>
      </c>
      <c r="D13139" t="inlineStr">
        <is>
          <t>VÄSTRA GÖTALANDS LÄN</t>
        </is>
      </c>
      <c r="E13139" t="inlineStr">
        <is>
          <t>MUNKEDAL</t>
        </is>
      </c>
      <c r="F13139" t="inlineStr">
        <is>
          <t>Naturvårdsverket</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30554-2023</t>
        </is>
      </c>
      <c r="B13140" s="1" t="n">
        <v>45111.86663194445</v>
      </c>
      <c r="C13140" s="1" t="n">
        <v>46011</v>
      </c>
      <c r="D13140" t="inlineStr">
        <is>
          <t>VÄSTRA GÖTALANDS LÄN</t>
        </is>
      </c>
      <c r="E13140" t="inlineStr">
        <is>
          <t>MUNKEDAL</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30573-2023</t>
        </is>
      </c>
      <c r="B13141" s="1" t="n">
        <v>45111.96506944444</v>
      </c>
      <c r="C13141" s="1" t="n">
        <v>46011</v>
      </c>
      <c r="D13141" t="inlineStr">
        <is>
          <t>VÄSTRA GÖTALANDS LÄN</t>
        </is>
      </c>
      <c r="E13141" t="inlineStr">
        <is>
          <t>ÅMÅL</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49166-2023</t>
        </is>
      </c>
      <c r="B13142" s="1" t="n">
        <v>45210.5391087963</v>
      </c>
      <c r="C13142" s="1" t="n">
        <v>46011</v>
      </c>
      <c r="D13142" t="inlineStr">
        <is>
          <t>VÄSTRA GÖTALANDS LÄN</t>
        </is>
      </c>
      <c r="E13142" t="inlineStr">
        <is>
          <t>MARIESTAD</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31230-2023</t>
        </is>
      </c>
      <c r="B13143" s="1" t="n">
        <v>45114.33414351852</v>
      </c>
      <c r="C13143" s="1" t="n">
        <v>46011</v>
      </c>
      <c r="D13143" t="inlineStr">
        <is>
          <t>VÄSTRA GÖTALANDS LÄN</t>
        </is>
      </c>
      <c r="E13143" t="inlineStr">
        <is>
          <t>MARIESTAD</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7490-2025</t>
        </is>
      </c>
      <c r="B13144" s="1" t="n">
        <v>45705.47967592593</v>
      </c>
      <c r="C13144" s="1" t="n">
        <v>46011</v>
      </c>
      <c r="D13144" t="inlineStr">
        <is>
          <t>VÄSTRA GÖTALANDS LÄN</t>
        </is>
      </c>
      <c r="E13144" t="inlineStr">
        <is>
          <t>MARIESTAD</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62463-2023</t>
        </is>
      </c>
      <c r="B13145" s="1" t="n">
        <v>45268.52193287037</v>
      </c>
      <c r="C13145" s="1" t="n">
        <v>46011</v>
      </c>
      <c r="D13145" t="inlineStr">
        <is>
          <t>VÄSTRA GÖTALANDS LÄN</t>
        </is>
      </c>
      <c r="E13145" t="inlineStr">
        <is>
          <t>MUNKEDAL</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62483-2023</t>
        </is>
      </c>
      <c r="B13146" s="1" t="n">
        <v>45267</v>
      </c>
      <c r="C13146" s="1" t="n">
        <v>46011</v>
      </c>
      <c r="D13146" t="inlineStr">
        <is>
          <t>VÄSTRA GÖTALANDS LÄN</t>
        </is>
      </c>
      <c r="E13146" t="inlineStr">
        <is>
          <t>TRANEMO</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62490-2023</t>
        </is>
      </c>
      <c r="B13147" s="1" t="n">
        <v>45267</v>
      </c>
      <c r="C13147" s="1" t="n">
        <v>46011</v>
      </c>
      <c r="D13147" t="inlineStr">
        <is>
          <t>VÄSTRA GÖTALANDS LÄN</t>
        </is>
      </c>
      <c r="E13147" t="inlineStr">
        <is>
          <t>SVENLJUNGA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16113-2021</t>
        </is>
      </c>
      <c r="B13148" s="1" t="n">
        <v>44291.42980324074</v>
      </c>
      <c r="C13148" s="1" t="n">
        <v>46011</v>
      </c>
      <c r="D13148" t="inlineStr">
        <is>
          <t>VÄSTRA GÖTALANDS LÄN</t>
        </is>
      </c>
      <c r="E13148" t="inlineStr">
        <is>
          <t>SKÖVDE</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6313-2021</t>
        </is>
      </c>
      <c r="B13149" s="1" t="n">
        <v>44235</v>
      </c>
      <c r="C13149" s="1" t="n">
        <v>46011</v>
      </c>
      <c r="D13149" t="inlineStr">
        <is>
          <t>VÄSTRA GÖTALANDS LÄN</t>
        </is>
      </c>
      <c r="E13149" t="inlineStr">
        <is>
          <t>FÄRGELANDA</t>
        </is>
      </c>
      <c r="G13149" t="n">
        <v>7.9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34862-2023</t>
        </is>
      </c>
      <c r="B13150" s="1" t="n">
        <v>45142.31351851852</v>
      </c>
      <c r="C13150" s="1" t="n">
        <v>46011</v>
      </c>
      <c r="D13150" t="inlineStr">
        <is>
          <t>VÄSTRA GÖTALANDS LÄN</t>
        </is>
      </c>
      <c r="E13150" t="inlineStr">
        <is>
          <t>TÖREBODA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29248-2023</t>
        </is>
      </c>
      <c r="B13151" s="1" t="n">
        <v>45105.63884259259</v>
      </c>
      <c r="C13151" s="1" t="n">
        <v>46011</v>
      </c>
      <c r="D13151" t="inlineStr">
        <is>
          <t>VÄSTRA GÖTALANDS LÄN</t>
        </is>
      </c>
      <c r="E13151" t="inlineStr">
        <is>
          <t>SKÖVDE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47902-2024</t>
        </is>
      </c>
      <c r="B13152" s="1" t="n">
        <v>45589</v>
      </c>
      <c r="C13152" s="1" t="n">
        <v>46011</v>
      </c>
      <c r="D13152" t="inlineStr">
        <is>
          <t>VÄSTRA GÖTALANDS LÄN</t>
        </is>
      </c>
      <c r="E13152" t="inlineStr">
        <is>
          <t>TROLLHÄTTAN</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10958-2022</t>
        </is>
      </c>
      <c r="B13153" s="1" t="n">
        <v>44628</v>
      </c>
      <c r="C13153" s="1" t="n">
        <v>46011</v>
      </c>
      <c r="D13153" t="inlineStr">
        <is>
          <t>VÄSTRA GÖTALANDS LÄN</t>
        </is>
      </c>
      <c r="E13153" t="inlineStr">
        <is>
          <t>GÖTENE</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35217-2023</t>
        </is>
      </c>
      <c r="B13154" s="1" t="n">
        <v>45145.64420138889</v>
      </c>
      <c r="C13154" s="1" t="n">
        <v>46011</v>
      </c>
      <c r="D13154" t="inlineStr">
        <is>
          <t>VÄSTRA GÖTALANDS LÄN</t>
        </is>
      </c>
      <c r="E13154" t="inlineStr">
        <is>
          <t>SKARA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13830-2023</t>
        </is>
      </c>
      <c r="B13155" s="1" t="n">
        <v>45007.59076388889</v>
      </c>
      <c r="C13155" s="1" t="n">
        <v>46011</v>
      </c>
      <c r="D13155" t="inlineStr">
        <is>
          <t>VÄSTRA GÖTALANDS LÄN</t>
        </is>
      </c>
      <c r="E13155" t="inlineStr">
        <is>
          <t>BENGTSFORS</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13843-2023</t>
        </is>
      </c>
      <c r="B13156" s="1" t="n">
        <v>45007.61644675926</v>
      </c>
      <c r="C13156" s="1" t="n">
        <v>46011</v>
      </c>
      <c r="D13156" t="inlineStr">
        <is>
          <t>VÄSTRA GÖTALANDS LÄN</t>
        </is>
      </c>
      <c r="E13156" t="inlineStr">
        <is>
          <t>BENGTSFORS</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36929-2023</t>
        </is>
      </c>
      <c r="B13157" s="1" t="n">
        <v>45153</v>
      </c>
      <c r="C13157" s="1" t="n">
        <v>46011</v>
      </c>
      <c r="D13157" t="inlineStr">
        <is>
          <t>VÄSTRA GÖTALANDS LÄN</t>
        </is>
      </c>
      <c r="E13157" t="inlineStr">
        <is>
          <t>TANUM</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65872-2021</t>
        </is>
      </c>
      <c r="B13158" s="1" t="n">
        <v>44517.39930555555</v>
      </c>
      <c r="C13158" s="1" t="n">
        <v>46011</v>
      </c>
      <c r="D13158" t="inlineStr">
        <is>
          <t>VÄSTRA GÖTALANDS LÄN</t>
        </is>
      </c>
      <c r="E13158" t="inlineStr">
        <is>
          <t>ULRICEHAMN</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7365-2025</t>
        </is>
      </c>
      <c r="B13159" s="1" t="n">
        <v>45704.69732638889</v>
      </c>
      <c r="C13159" s="1" t="n">
        <v>46011</v>
      </c>
      <c r="D13159" t="inlineStr">
        <is>
          <t>VÄSTRA GÖTALANDS LÄN</t>
        </is>
      </c>
      <c r="E13159" t="inlineStr">
        <is>
          <t>FALKÖPING</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35515-2023</t>
        </is>
      </c>
      <c r="B13160" s="1" t="n">
        <v>45147</v>
      </c>
      <c r="C13160" s="1" t="n">
        <v>46011</v>
      </c>
      <c r="D13160" t="inlineStr">
        <is>
          <t>VÄSTRA GÖTALANDS LÄN</t>
        </is>
      </c>
      <c r="E13160" t="inlineStr">
        <is>
          <t>GRÄSTORP</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5040-2023</t>
        </is>
      </c>
      <c r="B13161" s="1" t="n">
        <v>44958.58229166667</v>
      </c>
      <c r="C13161" s="1" t="n">
        <v>46011</v>
      </c>
      <c r="D13161" t="inlineStr">
        <is>
          <t>VÄSTRA GÖTALANDS LÄN</t>
        </is>
      </c>
      <c r="E13161" t="inlineStr">
        <is>
          <t>TRANEMO</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46209-2023</t>
        </is>
      </c>
      <c r="B13162" s="1" t="n">
        <v>45196.6505787037</v>
      </c>
      <c r="C13162" s="1" t="n">
        <v>46011</v>
      </c>
      <c r="D13162" t="inlineStr">
        <is>
          <t>VÄSTRA GÖTALANDS LÄN</t>
        </is>
      </c>
      <c r="E13162" t="inlineStr">
        <is>
          <t>ULRICEHAMN</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46240-2023</t>
        </is>
      </c>
      <c r="B13163" s="1" t="n">
        <v>45196.74399305556</v>
      </c>
      <c r="C13163" s="1" t="n">
        <v>46011</v>
      </c>
      <c r="D13163" t="inlineStr">
        <is>
          <t>VÄSTRA GÖTALANDS LÄN</t>
        </is>
      </c>
      <c r="E13163" t="inlineStr">
        <is>
          <t>ALINGSÅS</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20470-2024</t>
        </is>
      </c>
      <c r="B13164" s="1" t="n">
        <v>45435</v>
      </c>
      <c r="C13164" s="1" t="n">
        <v>46011</v>
      </c>
      <c r="D13164" t="inlineStr">
        <is>
          <t>VÄSTRA GÖTALANDS LÄN</t>
        </is>
      </c>
      <c r="E13164" t="inlineStr">
        <is>
          <t>SKARA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56442-2023</t>
        </is>
      </c>
      <c r="B13165" s="1" t="n">
        <v>45237</v>
      </c>
      <c r="C13165" s="1" t="n">
        <v>46011</v>
      </c>
      <c r="D13165" t="inlineStr">
        <is>
          <t>VÄSTRA GÖTALANDS LÄN</t>
        </is>
      </c>
      <c r="E13165" t="inlineStr">
        <is>
          <t>DALS-ED</t>
        </is>
      </c>
      <c r="F13165" t="inlineStr">
        <is>
          <t>Kyrkan</t>
        </is>
      </c>
      <c r="G13165" t="n">
        <v>8.300000000000001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3100-2025</t>
        </is>
      </c>
      <c r="B13166" s="1" t="n">
        <v>45678.67097222222</v>
      </c>
      <c r="C13166" s="1" t="n">
        <v>46011</v>
      </c>
      <c r="D13166" t="inlineStr">
        <is>
          <t>VÄSTRA GÖTALANDS LÄN</t>
        </is>
      </c>
      <c r="E13166" t="inlineStr">
        <is>
          <t>SVENLJUNGA</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57902-2022</t>
        </is>
      </c>
      <c r="B13167" s="1" t="n">
        <v>44900.35104166667</v>
      </c>
      <c r="C13167" s="1" t="n">
        <v>46011</v>
      </c>
      <c r="D13167" t="inlineStr">
        <is>
          <t>VÄSTRA GÖTALANDS LÄN</t>
        </is>
      </c>
      <c r="E13167" t="inlineStr">
        <is>
          <t>VÅRGÅRDA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57934-2022</t>
        </is>
      </c>
      <c r="B13168" s="1" t="n">
        <v>44900.38658564815</v>
      </c>
      <c r="C13168" s="1" t="n">
        <v>46011</v>
      </c>
      <c r="D13168" t="inlineStr">
        <is>
          <t>VÄSTRA GÖTALANDS LÄN</t>
        </is>
      </c>
      <c r="E13168" t="inlineStr">
        <is>
          <t>TIDAHOLM</t>
        </is>
      </c>
      <c r="F13168" t="inlineStr">
        <is>
          <t>Sveaskog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39899-2023</t>
        </is>
      </c>
      <c r="B13169" s="1" t="n">
        <v>45166</v>
      </c>
      <c r="C13169" s="1" t="n">
        <v>46011</v>
      </c>
      <c r="D13169" t="inlineStr">
        <is>
          <t>VÄSTRA GÖTALANDS LÄN</t>
        </is>
      </c>
      <c r="E13169" t="inlineStr">
        <is>
          <t>VÄNERSBORG</t>
        </is>
      </c>
      <c r="G13169" t="n">
        <v>15.6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8670-2022</t>
        </is>
      </c>
      <c r="B13170" s="1" t="n">
        <v>44613.67236111111</v>
      </c>
      <c r="C13170" s="1" t="n">
        <v>46011</v>
      </c>
      <c r="D13170" t="inlineStr">
        <is>
          <t>VÄSTRA GÖTALANDS LÄN</t>
        </is>
      </c>
      <c r="E13170" t="inlineStr">
        <is>
          <t>ULRICEHAMN</t>
        </is>
      </c>
      <c r="F13170" t="inlineStr">
        <is>
          <t>Sveaskog</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39962-2023</t>
        </is>
      </c>
      <c r="B13171" s="1" t="n">
        <v>45168</v>
      </c>
      <c r="C13171" s="1" t="n">
        <v>46011</v>
      </c>
      <c r="D13171" t="inlineStr">
        <is>
          <t>VÄSTRA GÖTALANDS LÄN</t>
        </is>
      </c>
      <c r="E13171" t="inlineStr">
        <is>
          <t>FÄRGELANDA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32541-2024</t>
        </is>
      </c>
      <c r="B13172" s="1" t="n">
        <v>45513.49285879629</v>
      </c>
      <c r="C13172" s="1" t="n">
        <v>46011</v>
      </c>
      <c r="D13172" t="inlineStr">
        <is>
          <t>VÄSTRA GÖTALANDS LÄN</t>
        </is>
      </c>
      <c r="E13172" t="inlineStr">
        <is>
          <t>TROLLHÄTTAN</t>
        </is>
      </c>
      <c r="F13172" t="inlineStr">
        <is>
          <t>Kyrkan</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32548-2024</t>
        </is>
      </c>
      <c r="B13173" s="1" t="n">
        <v>45513</v>
      </c>
      <c r="C13173" s="1" t="n">
        <v>46011</v>
      </c>
      <c r="D13173" t="inlineStr">
        <is>
          <t>VÄSTRA GÖTALANDS LÄN</t>
        </is>
      </c>
      <c r="E13173" t="inlineStr">
        <is>
          <t>GULLSPÅNG</t>
        </is>
      </c>
      <c r="G13173" t="n">
        <v>10.2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5916-2023</t>
        </is>
      </c>
      <c r="B13174" s="1" t="n">
        <v>44963</v>
      </c>
      <c r="C13174" s="1" t="n">
        <v>46011</v>
      </c>
      <c r="D13174" t="inlineStr">
        <is>
          <t>VÄSTRA GÖTALANDS LÄN</t>
        </is>
      </c>
      <c r="E13174" t="inlineStr">
        <is>
          <t>ALE</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50945-2023</t>
        </is>
      </c>
      <c r="B13175" s="1" t="n">
        <v>45210</v>
      </c>
      <c r="C13175" s="1" t="n">
        <v>46011</v>
      </c>
      <c r="D13175" t="inlineStr">
        <is>
          <t>VÄSTRA GÖTALANDS LÄN</t>
        </is>
      </c>
      <c r="E13175" t="inlineStr">
        <is>
          <t>VÅRGÅRDA</t>
        </is>
      </c>
      <c r="F13175" t="inlineStr">
        <is>
          <t>Allmännings- och besparingsskogar</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18131-2023</t>
        </is>
      </c>
      <c r="B13176" s="1" t="n">
        <v>45040.86141203704</v>
      </c>
      <c r="C13176" s="1" t="n">
        <v>46011</v>
      </c>
      <c r="D13176" t="inlineStr">
        <is>
          <t>VÄSTRA GÖTALANDS LÄN</t>
        </is>
      </c>
      <c r="E13176" t="inlineStr">
        <is>
          <t>FALKÖPING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18132-2023</t>
        </is>
      </c>
      <c r="B13177" s="1" t="n">
        <v>45040</v>
      </c>
      <c r="C13177" s="1" t="n">
        <v>46011</v>
      </c>
      <c r="D13177" t="inlineStr">
        <is>
          <t>VÄSTRA GÖTALANDS LÄN</t>
        </is>
      </c>
      <c r="E13177" t="inlineStr">
        <is>
          <t>SKÖVDE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23183-2023</t>
        </is>
      </c>
      <c r="B13178" s="1" t="n">
        <v>45075.59015046297</v>
      </c>
      <c r="C13178" s="1" t="n">
        <v>46011</v>
      </c>
      <c r="D13178" t="inlineStr">
        <is>
          <t>VÄSTRA GÖTALANDS LÄN</t>
        </is>
      </c>
      <c r="E13178" t="inlineStr">
        <is>
          <t>TRANEMO</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8814-2022</t>
        </is>
      </c>
      <c r="B13179" s="1" t="n">
        <v>44614</v>
      </c>
      <c r="C13179" s="1" t="n">
        <v>46011</v>
      </c>
      <c r="D13179" t="inlineStr">
        <is>
          <t>VÄSTRA GÖTALANDS LÄN</t>
        </is>
      </c>
      <c r="E13179" t="inlineStr">
        <is>
          <t>HJO</t>
        </is>
      </c>
      <c r="F13179" t="inlineStr">
        <is>
          <t>Kyrkan</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32303-2023</t>
        </is>
      </c>
      <c r="B13180" s="1" t="n">
        <v>45120.42296296296</v>
      </c>
      <c r="C13180" s="1" t="n">
        <v>46011</v>
      </c>
      <c r="D13180" t="inlineStr">
        <is>
          <t>VÄSTRA GÖTALANDS LÄN</t>
        </is>
      </c>
      <c r="E13180" t="inlineStr">
        <is>
          <t>ULRICEHAMN</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30793-2023</t>
        </is>
      </c>
      <c r="B13181" s="1" t="n">
        <v>45112.74090277778</v>
      </c>
      <c r="C13181" s="1" t="n">
        <v>46011</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30795-2023</t>
        </is>
      </c>
      <c r="B13182" s="1" t="n">
        <v>45112.75636574074</v>
      </c>
      <c r="C13182" s="1" t="n">
        <v>46011</v>
      </c>
      <c r="D13182" t="inlineStr">
        <is>
          <t>VÄSTRA GÖTALANDS LÄN</t>
        </is>
      </c>
      <c r="E13182" t="inlineStr">
        <is>
          <t>BOLLEBYGD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5386-2025</t>
        </is>
      </c>
      <c r="B13183" s="1" t="n">
        <v>45692.62754629629</v>
      </c>
      <c r="C13183" s="1" t="n">
        <v>46011</v>
      </c>
      <c r="D13183" t="inlineStr">
        <is>
          <t>VÄSTRA GÖTALANDS LÄN</t>
        </is>
      </c>
      <c r="E13183" t="inlineStr">
        <is>
          <t>SKÖVDE</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48346-2024</t>
        </is>
      </c>
      <c r="B13184" s="1" t="n">
        <v>45590.55582175926</v>
      </c>
      <c r="C13184" s="1" t="n">
        <v>46011</v>
      </c>
      <c r="D13184" t="inlineStr">
        <is>
          <t>VÄSTRA GÖTALANDS LÄN</t>
        </is>
      </c>
      <c r="E13184" t="inlineStr">
        <is>
          <t>LIDKÖPING</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8357-2023</t>
        </is>
      </c>
      <c r="B13185" s="1" t="n">
        <v>44977</v>
      </c>
      <c r="C13185" s="1" t="n">
        <v>46011</v>
      </c>
      <c r="D13185" t="inlineStr">
        <is>
          <t>VÄSTRA GÖTALANDS LÄN</t>
        </is>
      </c>
      <c r="E13185" t="inlineStr">
        <is>
          <t>TRANEMO</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12910-2023</t>
        </is>
      </c>
      <c r="B13186" s="1" t="n">
        <v>45001</v>
      </c>
      <c r="C13186" s="1" t="n">
        <v>46011</v>
      </c>
      <c r="D13186" t="inlineStr">
        <is>
          <t>VÄSTRA GÖTALANDS LÄN</t>
        </is>
      </c>
      <c r="E13186" t="inlineStr">
        <is>
          <t>VÄNERSBORG</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6446-2025</t>
        </is>
      </c>
      <c r="B13187" s="1" t="n">
        <v>45699</v>
      </c>
      <c r="C13187" s="1" t="n">
        <v>46011</v>
      </c>
      <c r="D13187" t="inlineStr">
        <is>
          <t>VÄSTRA GÖTALANDS LÄN</t>
        </is>
      </c>
      <c r="E13187" t="inlineStr">
        <is>
          <t>TÖREBODA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6495-2025</t>
        </is>
      </c>
      <c r="B13188" s="1" t="n">
        <v>45699.63547453703</v>
      </c>
      <c r="C13188" s="1" t="n">
        <v>46011</v>
      </c>
      <c r="D13188" t="inlineStr">
        <is>
          <t>VÄSTRA GÖTALANDS LÄN</t>
        </is>
      </c>
      <c r="E13188" t="inlineStr">
        <is>
          <t>FALKÖPING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55163-2023</t>
        </is>
      </c>
      <c r="B13189" s="1" t="n">
        <v>45237</v>
      </c>
      <c r="C13189" s="1" t="n">
        <v>46011</v>
      </c>
      <c r="D13189" t="inlineStr">
        <is>
          <t>VÄSTRA GÖTALANDS LÄN</t>
        </is>
      </c>
      <c r="E13189" t="inlineStr">
        <is>
          <t>GULLSPÅNG</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55254-2023</t>
        </is>
      </c>
      <c r="B13190" s="1" t="n">
        <v>45237.65777777778</v>
      </c>
      <c r="C13190" s="1" t="n">
        <v>46011</v>
      </c>
      <c r="D13190" t="inlineStr">
        <is>
          <t>VÄSTRA GÖTALANDS LÄN</t>
        </is>
      </c>
      <c r="E13190" t="inlineStr">
        <is>
          <t>UDDEVALLA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55267-2023</t>
        </is>
      </c>
      <c r="B13191" s="1" t="n">
        <v>45237</v>
      </c>
      <c r="C13191" s="1" t="n">
        <v>46011</v>
      </c>
      <c r="D13191" t="inlineStr">
        <is>
          <t>VÄSTRA GÖTALANDS LÄN</t>
        </is>
      </c>
      <c r="E13191" t="inlineStr">
        <is>
          <t>ULRICEHAMN</t>
        </is>
      </c>
      <c r="G13191" t="n">
        <v>0.4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55296-2023</t>
        </is>
      </c>
      <c r="B13192" s="1" t="n">
        <v>45237.81827546296</v>
      </c>
      <c r="C13192" s="1" t="n">
        <v>46011</v>
      </c>
      <c r="D13192" t="inlineStr">
        <is>
          <t>VÄSTRA GÖTALANDS LÄN</t>
        </is>
      </c>
      <c r="E13192" t="inlineStr">
        <is>
          <t>VARA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61716-2022</t>
        </is>
      </c>
      <c r="B13193" s="1" t="n">
        <v>44917</v>
      </c>
      <c r="C13193" s="1" t="n">
        <v>46011</v>
      </c>
      <c r="D13193" t="inlineStr">
        <is>
          <t>VÄSTRA GÖTALANDS LÄN</t>
        </is>
      </c>
      <c r="E13193" t="inlineStr">
        <is>
          <t>MARIESTAD</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44038-2024</t>
        </is>
      </c>
      <c r="B13194" s="1" t="n">
        <v>45572.58230324074</v>
      </c>
      <c r="C13194" s="1" t="n">
        <v>46011</v>
      </c>
      <c r="D13194" t="inlineStr">
        <is>
          <t>VÄSTRA GÖTALANDS LÄN</t>
        </is>
      </c>
      <c r="E13194" t="inlineStr">
        <is>
          <t>TIDAHOLM</t>
        </is>
      </c>
      <c r="F13194" t="inlineStr">
        <is>
          <t>Sveaskog</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39285-2023</t>
        </is>
      </c>
      <c r="B13195" s="1" t="n">
        <v>45166</v>
      </c>
      <c r="C13195" s="1" t="n">
        <v>46011</v>
      </c>
      <c r="D13195" t="inlineStr">
        <is>
          <t>VÄSTRA GÖTALANDS LÄN</t>
        </is>
      </c>
      <c r="E13195" t="inlineStr">
        <is>
          <t>KARLSBORG</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39287-2023</t>
        </is>
      </c>
      <c r="B13196" s="1" t="n">
        <v>45166</v>
      </c>
      <c r="C13196" s="1" t="n">
        <v>46011</v>
      </c>
      <c r="D13196" t="inlineStr">
        <is>
          <t>VÄSTRA GÖTALANDS LÄN</t>
        </is>
      </c>
      <c r="E13196" t="inlineStr">
        <is>
          <t>KARLSBORG</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40651-2024</t>
        </is>
      </c>
      <c r="B13197" s="1" t="n">
        <v>45558.33138888889</v>
      </c>
      <c r="C13197" s="1" t="n">
        <v>46011</v>
      </c>
      <c r="D13197" t="inlineStr">
        <is>
          <t>VÄSTRA GÖTALANDS LÄN</t>
        </is>
      </c>
      <c r="E13197" t="inlineStr">
        <is>
          <t>MARIESTAD</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38842-2024</t>
        </is>
      </c>
      <c r="B13198" s="1" t="n">
        <v>45547.59736111111</v>
      </c>
      <c r="C13198" s="1" t="n">
        <v>46011</v>
      </c>
      <c r="D13198" t="inlineStr">
        <is>
          <t>VÄSTRA GÖTALANDS LÄN</t>
        </is>
      </c>
      <c r="E13198" t="inlineStr">
        <is>
          <t>MUNKEDAL</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11153-2023</t>
        </is>
      </c>
      <c r="B13199" s="1" t="n">
        <v>44992.52275462963</v>
      </c>
      <c r="C13199" s="1" t="n">
        <v>46011</v>
      </c>
      <c r="D13199" t="inlineStr">
        <is>
          <t>VÄSTRA GÖTALANDS LÄN</t>
        </is>
      </c>
      <c r="E13199" t="inlineStr">
        <is>
          <t>BORÅS</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37775-2024</t>
        </is>
      </c>
      <c r="B13200" s="1" t="n">
        <v>45542.42527777778</v>
      </c>
      <c r="C13200" s="1" t="n">
        <v>46011</v>
      </c>
      <c r="D13200" t="inlineStr">
        <is>
          <t>VÄSTRA GÖTALANDS LÄN</t>
        </is>
      </c>
      <c r="E13200" t="inlineStr">
        <is>
          <t>GRÄSTORP</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42109-2024</t>
        </is>
      </c>
      <c r="B13201" s="1" t="n">
        <v>45562.3779050926</v>
      </c>
      <c r="C13201" s="1" t="n">
        <v>46011</v>
      </c>
      <c r="D13201" t="inlineStr">
        <is>
          <t>VÄSTRA GÖTALANDS LÄN</t>
        </is>
      </c>
      <c r="E13201" t="inlineStr">
        <is>
          <t>TÖREBODA</t>
        </is>
      </c>
      <c r="G13201" t="n">
        <v>6.2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50002-2024</t>
        </is>
      </c>
      <c r="B13202" s="1" t="n">
        <v>45598.42902777778</v>
      </c>
      <c r="C13202" s="1" t="n">
        <v>46011</v>
      </c>
      <c r="D13202" t="inlineStr">
        <is>
          <t>VÄSTRA GÖTALANDS LÄN</t>
        </is>
      </c>
      <c r="E13202" t="inlineStr">
        <is>
          <t>ULRICEHAMN</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16988-2025</t>
        </is>
      </c>
      <c r="B13203" s="1" t="n">
        <v>45755.49395833333</v>
      </c>
      <c r="C13203" s="1" t="n">
        <v>46011</v>
      </c>
      <c r="D13203" t="inlineStr">
        <is>
          <t>VÄSTRA GÖTALANDS LÄN</t>
        </is>
      </c>
      <c r="E13203" t="inlineStr">
        <is>
          <t>MARK</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16991-2025</t>
        </is>
      </c>
      <c r="B13204" s="1" t="n">
        <v>45755.49856481481</v>
      </c>
      <c r="C13204" s="1" t="n">
        <v>46011</v>
      </c>
      <c r="D13204" t="inlineStr">
        <is>
          <t>VÄSTRA GÖTALANDS LÄN</t>
        </is>
      </c>
      <c r="E13204" t="inlineStr">
        <is>
          <t>MUNKEDAL</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17028-2025</t>
        </is>
      </c>
      <c r="B13205" s="1" t="n">
        <v>45755.57172453704</v>
      </c>
      <c r="C13205" s="1" t="n">
        <v>46011</v>
      </c>
      <c r="D13205" t="inlineStr">
        <is>
          <t>VÄSTRA GÖTALANDS LÄN</t>
        </is>
      </c>
      <c r="E13205" t="inlineStr">
        <is>
          <t>FALKÖPING</t>
        </is>
      </c>
      <c r="G13205" t="n">
        <v>7.3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7157-2024</t>
        </is>
      </c>
      <c r="B13206" s="1" t="n">
        <v>45344</v>
      </c>
      <c r="C13206" s="1" t="n">
        <v>46011</v>
      </c>
      <c r="D13206" t="inlineStr">
        <is>
          <t>VÄSTRA GÖTALANDS LÄN</t>
        </is>
      </c>
      <c r="E13206" t="inlineStr">
        <is>
          <t>MELLERUD</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35450-2023</t>
        </is>
      </c>
      <c r="B13207" s="1" t="n">
        <v>45146</v>
      </c>
      <c r="C13207" s="1" t="n">
        <v>46011</v>
      </c>
      <c r="D13207" t="inlineStr">
        <is>
          <t>VÄSTRA GÖTALANDS LÄN</t>
        </is>
      </c>
      <c r="E13207" t="inlineStr">
        <is>
          <t>FALKÖPING</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30724-2023</t>
        </is>
      </c>
      <c r="B13208" s="1" t="n">
        <v>45112</v>
      </c>
      <c r="C13208" s="1" t="n">
        <v>46011</v>
      </c>
      <c r="D13208" t="inlineStr">
        <is>
          <t>VÄSTRA GÖTALANDS LÄN</t>
        </is>
      </c>
      <c r="E13208" t="inlineStr">
        <is>
          <t>BOLLEBYGD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17585-2025</t>
        </is>
      </c>
      <c r="B13209" s="1" t="n">
        <v>45757.6740162037</v>
      </c>
      <c r="C13209" s="1" t="n">
        <v>46011</v>
      </c>
      <c r="D13209" t="inlineStr">
        <is>
          <t>VÄSTRA GÖTALANDS LÄN</t>
        </is>
      </c>
      <c r="E13209" t="inlineStr">
        <is>
          <t>ULRICEHAMN</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59857-2024</t>
        </is>
      </c>
      <c r="B13210" s="1" t="n">
        <v>45639.71925925926</v>
      </c>
      <c r="C13210" s="1" t="n">
        <v>46011</v>
      </c>
      <c r="D13210" t="inlineStr">
        <is>
          <t>VÄSTRA GÖTALANDS LÄN</t>
        </is>
      </c>
      <c r="E13210" t="inlineStr">
        <is>
          <t>MARIESTAD</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59881-2024</t>
        </is>
      </c>
      <c r="B13211" s="1" t="n">
        <v>45640.78921296296</v>
      </c>
      <c r="C13211" s="1" t="n">
        <v>46011</v>
      </c>
      <c r="D13211" t="inlineStr">
        <is>
          <t>VÄSTRA GÖTALANDS LÄN</t>
        </is>
      </c>
      <c r="E13211" t="inlineStr">
        <is>
          <t>ALINGSÅS</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10192-2022</t>
        </is>
      </c>
      <c r="B13212" s="1" t="n">
        <v>44622.43478009259</v>
      </c>
      <c r="C13212" s="1" t="n">
        <v>46011</v>
      </c>
      <c r="D13212" t="inlineStr">
        <is>
          <t>VÄSTRA GÖTALANDS LÄN</t>
        </is>
      </c>
      <c r="E13212" t="inlineStr">
        <is>
          <t>MARIESTAD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7826-2024</t>
        </is>
      </c>
      <c r="B13213" s="1" t="n">
        <v>45349.74234953704</v>
      </c>
      <c r="C13213" s="1" t="n">
        <v>46011</v>
      </c>
      <c r="D13213" t="inlineStr">
        <is>
          <t>VÄSTRA GÖTALANDS LÄN</t>
        </is>
      </c>
      <c r="E13213" t="inlineStr">
        <is>
          <t>TÖREBODA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11414-2022</t>
        </is>
      </c>
      <c r="B13214" s="1" t="n">
        <v>44630</v>
      </c>
      <c r="C13214" s="1" t="n">
        <v>46011</v>
      </c>
      <c r="D13214" t="inlineStr">
        <is>
          <t>VÄSTRA GÖTALANDS LÄN</t>
        </is>
      </c>
      <c r="E13214" t="inlineStr">
        <is>
          <t>MARK</t>
        </is>
      </c>
      <c r="F13214" t="inlineStr">
        <is>
          <t>Sveaskog</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59910-2024</t>
        </is>
      </c>
      <c r="B13215" s="1" t="n">
        <v>45641.68503472222</v>
      </c>
      <c r="C13215" s="1" t="n">
        <v>46011</v>
      </c>
      <c r="D13215" t="inlineStr">
        <is>
          <t>VÄSTRA GÖTALANDS LÄN</t>
        </is>
      </c>
      <c r="E13215" t="inlineStr">
        <is>
          <t>SVENLJUNGA</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6172-2024</t>
        </is>
      </c>
      <c r="B13216" s="1" t="n">
        <v>45337</v>
      </c>
      <c r="C13216" s="1" t="n">
        <v>46011</v>
      </c>
      <c r="D13216" t="inlineStr">
        <is>
          <t>VÄSTRA GÖTALANDS LÄN</t>
        </is>
      </c>
      <c r="E13216" t="inlineStr">
        <is>
          <t>VÄNERSBORG</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64338-2021</t>
        </is>
      </c>
      <c r="B13217" s="1" t="n">
        <v>44511</v>
      </c>
      <c r="C13217" s="1" t="n">
        <v>46011</v>
      </c>
      <c r="D13217" t="inlineStr">
        <is>
          <t>VÄSTRA GÖTALANDS LÄN</t>
        </is>
      </c>
      <c r="E13217" t="inlineStr">
        <is>
          <t>DALS-ED</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29399-2023</t>
        </is>
      </c>
      <c r="B13218" s="1" t="n">
        <v>45106.4499074074</v>
      </c>
      <c r="C13218" s="1" t="n">
        <v>46011</v>
      </c>
      <c r="D13218" t="inlineStr">
        <is>
          <t>VÄSTRA GÖTALANDS LÄN</t>
        </is>
      </c>
      <c r="E13218" t="inlineStr">
        <is>
          <t>FÄRGELANDA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10430-2023</t>
        </is>
      </c>
      <c r="B13219" s="1" t="n">
        <v>44987.54940972223</v>
      </c>
      <c r="C13219" s="1" t="n">
        <v>46011</v>
      </c>
      <c r="D13219" t="inlineStr">
        <is>
          <t>VÄSTRA GÖTALANDS LÄN</t>
        </is>
      </c>
      <c r="E13219" t="inlineStr">
        <is>
          <t>TÖREBODA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10431-2023</t>
        </is>
      </c>
      <c r="B13220" s="1" t="n">
        <v>44987.55047453703</v>
      </c>
      <c r="C13220" s="1" t="n">
        <v>46011</v>
      </c>
      <c r="D13220" t="inlineStr">
        <is>
          <t>VÄSTRA GÖTALANDS LÄN</t>
        </is>
      </c>
      <c r="E13220" t="inlineStr">
        <is>
          <t>TÖREBODA</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513-2022</t>
        </is>
      </c>
      <c r="B13221" s="1" t="n">
        <v>44566.54390046297</v>
      </c>
      <c r="C13221" s="1" t="n">
        <v>46011</v>
      </c>
      <c r="D13221" t="inlineStr">
        <is>
          <t>VÄSTRA GÖTALANDS LÄN</t>
        </is>
      </c>
      <c r="E13221" t="inlineStr">
        <is>
          <t>HERRLJUNGA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45833-2022</t>
        </is>
      </c>
      <c r="B13222" s="1" t="n">
        <v>44846.49806712963</v>
      </c>
      <c r="C13222" s="1" t="n">
        <v>46011</v>
      </c>
      <c r="D13222" t="inlineStr">
        <is>
          <t>VÄSTRA GÖTALANDS LÄN</t>
        </is>
      </c>
      <c r="E13222" t="inlineStr">
        <is>
          <t>FÄRGELANDA</t>
        </is>
      </c>
      <c r="G13222" t="n">
        <v>8.300000000000001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5056-2023</t>
        </is>
      </c>
      <c r="B13223" s="1" t="n">
        <v>44958</v>
      </c>
      <c r="C13223" s="1" t="n">
        <v>46011</v>
      </c>
      <c r="D13223" t="inlineStr">
        <is>
          <t>VÄSTRA GÖTALANDS LÄN</t>
        </is>
      </c>
      <c r="E13223" t="inlineStr">
        <is>
          <t>TRANEMO</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17124-2023</t>
        </is>
      </c>
      <c r="B13224" s="1" t="n">
        <v>45034</v>
      </c>
      <c r="C13224" s="1" t="n">
        <v>46011</v>
      </c>
      <c r="D13224" t="inlineStr">
        <is>
          <t>VÄSTRA GÖTALANDS LÄN</t>
        </is>
      </c>
      <c r="E13224" t="inlineStr">
        <is>
          <t>TRANEMO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14196-2023</t>
        </is>
      </c>
      <c r="B13225" s="1" t="n">
        <v>45009</v>
      </c>
      <c r="C13225" s="1" t="n">
        <v>46011</v>
      </c>
      <c r="D13225" t="inlineStr">
        <is>
          <t>VÄSTRA GÖTALANDS LÄN</t>
        </is>
      </c>
      <c r="E13225" t="inlineStr">
        <is>
          <t>HJO</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4982-2025</t>
        </is>
      </c>
      <c r="B13226" s="1" t="n">
        <v>45689</v>
      </c>
      <c r="C13226" s="1" t="n">
        <v>46011</v>
      </c>
      <c r="D13226" t="inlineStr">
        <is>
          <t>VÄSTRA GÖTALANDS LÄN</t>
        </is>
      </c>
      <c r="E13226" t="inlineStr">
        <is>
          <t>GULLSPÅNG</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52626-2023</t>
        </is>
      </c>
      <c r="B13227" s="1" t="n">
        <v>45225.63690972222</v>
      </c>
      <c r="C13227" s="1" t="n">
        <v>46011</v>
      </c>
      <c r="D13227" t="inlineStr">
        <is>
          <t>VÄSTRA GÖTALANDS LÄN</t>
        </is>
      </c>
      <c r="E13227" t="inlineStr">
        <is>
          <t>MARIESTAD</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8474-2025</t>
        </is>
      </c>
      <c r="B13228" s="1" t="n">
        <v>45709.47657407408</v>
      </c>
      <c r="C13228" s="1" t="n">
        <v>46011</v>
      </c>
      <c r="D13228" t="inlineStr">
        <is>
          <t>VÄSTRA GÖTALANDS LÄN</t>
        </is>
      </c>
      <c r="E13228" t="inlineStr">
        <is>
          <t>MARIESTAD</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17510-2021</t>
        </is>
      </c>
      <c r="B13229" s="1" t="n">
        <v>44299</v>
      </c>
      <c r="C13229" s="1" t="n">
        <v>46011</v>
      </c>
      <c r="D13229" t="inlineStr">
        <is>
          <t>VÄSTRA GÖTALANDS LÄN</t>
        </is>
      </c>
      <c r="E13229" t="inlineStr">
        <is>
          <t>LILLA EDET</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17861-2021</t>
        </is>
      </c>
      <c r="B13230" s="1" t="n">
        <v>44301.31224537037</v>
      </c>
      <c r="C13230" s="1" t="n">
        <v>46011</v>
      </c>
      <c r="D13230" t="inlineStr">
        <is>
          <t>VÄSTRA GÖTALANDS LÄN</t>
        </is>
      </c>
      <c r="E13230" t="inlineStr">
        <is>
          <t>LERUM</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19951-2024</t>
        </is>
      </c>
      <c r="B13231" s="1" t="n">
        <v>45433.62548611111</v>
      </c>
      <c r="C13231" s="1" t="n">
        <v>46011</v>
      </c>
      <c r="D13231" t="inlineStr">
        <is>
          <t>VÄSTRA GÖTALANDS LÄN</t>
        </is>
      </c>
      <c r="E13231" t="inlineStr">
        <is>
          <t>BENGTSFORS</t>
        </is>
      </c>
      <c r="G13231" t="n">
        <v>0</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12101-2022</t>
        </is>
      </c>
      <c r="B13232" s="1" t="n">
        <v>44636</v>
      </c>
      <c r="C13232" s="1" t="n">
        <v>46011</v>
      </c>
      <c r="D13232" t="inlineStr">
        <is>
          <t>VÄSTRA GÖTALANDS LÄN</t>
        </is>
      </c>
      <c r="E13232" t="inlineStr">
        <is>
          <t>ULRICEHAMN</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19990-2024</t>
        </is>
      </c>
      <c r="B13233" s="1" t="n">
        <v>45433</v>
      </c>
      <c r="C13233" s="1" t="n">
        <v>46011</v>
      </c>
      <c r="D13233" t="inlineStr">
        <is>
          <t>VÄSTRA GÖTALANDS LÄN</t>
        </is>
      </c>
      <c r="E13233" t="inlineStr">
        <is>
          <t>HERRLJUNGA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20469-2021</t>
        </is>
      </c>
      <c r="B13234" s="1" t="n">
        <v>44315</v>
      </c>
      <c r="C13234" s="1" t="n">
        <v>46011</v>
      </c>
      <c r="D13234" t="inlineStr">
        <is>
          <t>VÄSTRA GÖTALANDS LÄN</t>
        </is>
      </c>
      <c r="E13234" t="inlineStr">
        <is>
          <t>HJO</t>
        </is>
      </c>
      <c r="F13234" t="inlineStr">
        <is>
          <t>Övriga Aktiebolag</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20523-2021</t>
        </is>
      </c>
      <c r="B13235" s="1" t="n">
        <v>44315.74832175926</v>
      </c>
      <c r="C13235" s="1" t="n">
        <v>46011</v>
      </c>
      <c r="D13235" t="inlineStr">
        <is>
          <t>VÄSTRA GÖTALANDS LÄN</t>
        </is>
      </c>
      <c r="E13235" t="inlineStr">
        <is>
          <t>GRÄSTORP</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9374-2023</t>
        </is>
      </c>
      <c r="B13236" s="1" t="n">
        <v>44981.35020833334</v>
      </c>
      <c r="C13236" s="1" t="n">
        <v>46011</v>
      </c>
      <c r="D13236" t="inlineStr">
        <is>
          <t>VÄSTRA GÖTALANDS LÄN</t>
        </is>
      </c>
      <c r="E13236" t="inlineStr">
        <is>
          <t>MELLERUD</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9410-2022</t>
        </is>
      </c>
      <c r="B13237" s="1" t="n">
        <v>44616</v>
      </c>
      <c r="C13237" s="1" t="n">
        <v>46011</v>
      </c>
      <c r="D13237" t="inlineStr">
        <is>
          <t>VÄSTRA GÖTALANDS LÄN</t>
        </is>
      </c>
      <c r="E13237" t="inlineStr">
        <is>
          <t>MARIESTAD</t>
        </is>
      </c>
      <c r="F13237" t="inlineStr">
        <is>
          <t>Kyrkan</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31873-2023</t>
        </is>
      </c>
      <c r="B13238" s="1" t="n">
        <v>45118</v>
      </c>
      <c r="C13238" s="1" t="n">
        <v>46011</v>
      </c>
      <c r="D13238" t="inlineStr">
        <is>
          <t>VÄSTRA GÖTALANDS LÄN</t>
        </is>
      </c>
      <c r="E13238" t="inlineStr">
        <is>
          <t>ALINGSÅS</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9131-2023</t>
        </is>
      </c>
      <c r="B13239" s="1" t="n">
        <v>44980.34190972222</v>
      </c>
      <c r="C13239" s="1" t="n">
        <v>46011</v>
      </c>
      <c r="D13239" t="inlineStr">
        <is>
          <t>VÄSTRA GÖTALANDS LÄN</t>
        </is>
      </c>
      <c r="E13239" t="inlineStr">
        <is>
          <t>HERRLJUNGA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9145-2023</t>
        </is>
      </c>
      <c r="B13240" s="1" t="n">
        <v>44974</v>
      </c>
      <c r="C13240" s="1" t="n">
        <v>46011</v>
      </c>
      <c r="D13240" t="inlineStr">
        <is>
          <t>VÄSTRA GÖTALANDS LÄN</t>
        </is>
      </c>
      <c r="E13240" t="inlineStr">
        <is>
          <t>GÖTENE</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4237-2024</t>
        </is>
      </c>
      <c r="B13241" s="1" t="n">
        <v>45324</v>
      </c>
      <c r="C13241" s="1" t="n">
        <v>46011</v>
      </c>
      <c r="D13241" t="inlineStr">
        <is>
          <t>VÄSTRA GÖTALANDS LÄN</t>
        </is>
      </c>
      <c r="E13241" t="inlineStr">
        <is>
          <t>SKÖVDE</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4241-2024</t>
        </is>
      </c>
      <c r="B13242" s="1" t="n">
        <v>45324</v>
      </c>
      <c r="C13242" s="1" t="n">
        <v>46011</v>
      </c>
      <c r="D13242" t="inlineStr">
        <is>
          <t>VÄSTRA GÖTALANDS LÄN</t>
        </is>
      </c>
      <c r="E13242" t="inlineStr">
        <is>
          <t>MARIESTAD</t>
        </is>
      </c>
      <c r="F13242" t="inlineStr">
        <is>
          <t>Sveaskog</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16939-2023</t>
        </is>
      </c>
      <c r="B13243" s="1" t="n">
        <v>45033.63331018519</v>
      </c>
      <c r="C13243" s="1" t="n">
        <v>46011</v>
      </c>
      <c r="D13243" t="inlineStr">
        <is>
          <t>VÄSTRA GÖTALANDS LÄN</t>
        </is>
      </c>
      <c r="E13243" t="inlineStr">
        <is>
          <t>FALKÖPING</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8794-2023</t>
        </is>
      </c>
      <c r="B13244" s="1" t="n">
        <v>44978.59206018518</v>
      </c>
      <c r="C13244" s="1" t="n">
        <v>46011</v>
      </c>
      <c r="D13244" t="inlineStr">
        <is>
          <t>VÄSTRA GÖTALANDS LÄN</t>
        </is>
      </c>
      <c r="E13244" t="inlineStr">
        <is>
          <t>GULLSPÅNG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48256-2022</t>
        </is>
      </c>
      <c r="B13245" s="1" t="n">
        <v>44858.47505787037</v>
      </c>
      <c r="C13245" s="1" t="n">
        <v>46011</v>
      </c>
      <c r="D13245" t="inlineStr">
        <is>
          <t>VÄSTRA GÖTALANDS LÄN</t>
        </is>
      </c>
      <c r="E13245" t="inlineStr">
        <is>
          <t>MELLERUD</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8856-2023</t>
        </is>
      </c>
      <c r="B13246" s="1" t="n">
        <v>44978.89082175926</v>
      </c>
      <c r="C13246" s="1" t="n">
        <v>46011</v>
      </c>
      <c r="D13246" t="inlineStr">
        <is>
          <t>VÄSTRA GÖTALANDS LÄN</t>
        </is>
      </c>
      <c r="E13246" t="inlineStr">
        <is>
          <t>MARK</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28053-2023</t>
        </is>
      </c>
      <c r="B13247" s="1" t="n">
        <v>45099.35179398148</v>
      </c>
      <c r="C13247" s="1" t="n">
        <v>46011</v>
      </c>
      <c r="D13247" t="inlineStr">
        <is>
          <t>VÄSTRA GÖTALANDS LÄN</t>
        </is>
      </c>
      <c r="E13247" t="inlineStr">
        <is>
          <t>SVENLJUNGA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9460-2023</t>
        </is>
      </c>
      <c r="B13248" s="1" t="n">
        <v>44981.56767361111</v>
      </c>
      <c r="C13248" s="1" t="n">
        <v>46011</v>
      </c>
      <c r="D13248" t="inlineStr">
        <is>
          <t>VÄSTRA GÖTALANDS LÄN</t>
        </is>
      </c>
      <c r="E13248" t="inlineStr">
        <is>
          <t>SVENLJUNGA</t>
        </is>
      </c>
      <c r="G13248" t="n">
        <v>12.7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32447-2023</t>
        </is>
      </c>
      <c r="B13249" s="1" t="n">
        <v>45120</v>
      </c>
      <c r="C13249" s="1" t="n">
        <v>46011</v>
      </c>
      <c r="D13249" t="inlineStr">
        <is>
          <t>VÄSTRA GÖTALANDS LÄN</t>
        </is>
      </c>
      <c r="E13249" t="inlineStr">
        <is>
          <t>TIDAHOLM</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32452-2023</t>
        </is>
      </c>
      <c r="B13250" s="1" t="n">
        <v>45120</v>
      </c>
      <c r="C13250" s="1" t="n">
        <v>46011</v>
      </c>
      <c r="D13250" t="inlineStr">
        <is>
          <t>VÄSTRA GÖTALANDS LÄN</t>
        </is>
      </c>
      <c r="E13250" t="inlineStr">
        <is>
          <t>BORÅS</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32453-2023</t>
        </is>
      </c>
      <c r="B13251" s="1" t="n">
        <v>45120</v>
      </c>
      <c r="C13251" s="1" t="n">
        <v>46011</v>
      </c>
      <c r="D13251" t="inlineStr">
        <is>
          <t>VÄSTRA GÖTALANDS LÄN</t>
        </is>
      </c>
      <c r="E13251" t="inlineStr">
        <is>
          <t>BORÅS</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1055-2025</t>
        </is>
      </c>
      <c r="B13252" s="1" t="n">
        <v>45666.57021990741</v>
      </c>
      <c r="C13252" s="1" t="n">
        <v>46011</v>
      </c>
      <c r="D13252" t="inlineStr">
        <is>
          <t>VÄSTRA GÖTALANDS LÄN</t>
        </is>
      </c>
      <c r="E13252" t="inlineStr">
        <is>
          <t>BORÅS</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10147-2024</t>
        </is>
      </c>
      <c r="B13253" s="1" t="n">
        <v>45364.62685185186</v>
      </c>
      <c r="C13253" s="1" t="n">
        <v>46011</v>
      </c>
      <c r="D13253" t="inlineStr">
        <is>
          <t>VÄSTRA GÖTALANDS LÄN</t>
        </is>
      </c>
      <c r="E13253" t="inlineStr">
        <is>
          <t>BORÅS</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10890-2024</t>
        </is>
      </c>
      <c r="B13254" s="1" t="n">
        <v>45370</v>
      </c>
      <c r="C13254" s="1" t="n">
        <v>46011</v>
      </c>
      <c r="D13254" t="inlineStr">
        <is>
          <t>VÄSTRA GÖTALANDS LÄN</t>
        </is>
      </c>
      <c r="E13254" t="inlineStr">
        <is>
          <t>MARK</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10897-2024</t>
        </is>
      </c>
      <c r="B13255" s="1" t="n">
        <v>45370.35207175926</v>
      </c>
      <c r="C13255" s="1" t="n">
        <v>46011</v>
      </c>
      <c r="D13255" t="inlineStr">
        <is>
          <t>VÄSTRA GÖTALANDS LÄN</t>
        </is>
      </c>
      <c r="E13255" t="inlineStr">
        <is>
          <t>SVENLJUNGA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10906-2024</t>
        </is>
      </c>
      <c r="B13256" s="1" t="n">
        <v>45370.38039351852</v>
      </c>
      <c r="C13256" s="1" t="n">
        <v>46011</v>
      </c>
      <c r="D13256" t="inlineStr">
        <is>
          <t>VÄSTRA GÖTALANDS LÄN</t>
        </is>
      </c>
      <c r="E13256" t="inlineStr">
        <is>
          <t>SVENLJUNGA</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53887-2021</t>
        </is>
      </c>
      <c r="B13257" s="1" t="n">
        <v>44469.68799768519</v>
      </c>
      <c r="C13257" s="1" t="n">
        <v>46011</v>
      </c>
      <c r="D13257" t="inlineStr">
        <is>
          <t>VÄSTRA GÖTALANDS LÄN</t>
        </is>
      </c>
      <c r="E13257" t="inlineStr">
        <is>
          <t>ALINGSÅS</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5852-2023</t>
        </is>
      </c>
      <c r="B13258" s="1" t="n">
        <v>44963</v>
      </c>
      <c r="C13258" s="1" t="n">
        <v>46011</v>
      </c>
      <c r="D13258" t="inlineStr">
        <is>
          <t>VÄSTRA GÖTALANDS LÄN</t>
        </is>
      </c>
      <c r="E13258" t="inlineStr">
        <is>
          <t>TRANEMO</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5871-2023</t>
        </is>
      </c>
      <c r="B13259" s="1" t="n">
        <v>44963</v>
      </c>
      <c r="C13259" s="1" t="n">
        <v>46011</v>
      </c>
      <c r="D13259" t="inlineStr">
        <is>
          <t>VÄSTRA GÖTALANDS LÄN</t>
        </is>
      </c>
      <c r="E13259" t="inlineStr">
        <is>
          <t>MARK</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56957-2024</t>
        </is>
      </c>
      <c r="B13260" s="1" t="n">
        <v>45628.64818287037</v>
      </c>
      <c r="C13260" s="1" t="n">
        <v>46011</v>
      </c>
      <c r="D13260" t="inlineStr">
        <is>
          <t>VÄSTRA GÖTALANDS LÄN</t>
        </is>
      </c>
      <c r="E13260" t="inlineStr">
        <is>
          <t>ALINGSÅS</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56960-2024</t>
        </is>
      </c>
      <c r="B13261" s="1" t="n">
        <v>45628.65630787037</v>
      </c>
      <c r="C13261" s="1" t="n">
        <v>46011</v>
      </c>
      <c r="D13261" t="inlineStr">
        <is>
          <t>VÄSTRA GÖTALANDS LÄN</t>
        </is>
      </c>
      <c r="E13261" t="inlineStr">
        <is>
          <t>BENGTSFORS</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12840-2023</t>
        </is>
      </c>
      <c r="B13262" s="1" t="n">
        <v>45000</v>
      </c>
      <c r="C13262" s="1" t="n">
        <v>46011</v>
      </c>
      <c r="D13262" t="inlineStr">
        <is>
          <t>VÄSTRA GÖTALANDS LÄN</t>
        </is>
      </c>
      <c r="E13262" t="inlineStr">
        <is>
          <t>BORÅS</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60220-2022</t>
        </is>
      </c>
      <c r="B13263" s="1" t="n">
        <v>44903</v>
      </c>
      <c r="C13263" s="1" t="n">
        <v>46011</v>
      </c>
      <c r="D13263" t="inlineStr">
        <is>
          <t>VÄSTRA GÖTALANDS LÄN</t>
        </is>
      </c>
      <c r="E13263" t="inlineStr">
        <is>
          <t>STRÖMSTAD</t>
        </is>
      </c>
      <c r="G13263" t="n">
        <v>8.300000000000001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27409-2024</t>
        </is>
      </c>
      <c r="B13264" s="1" t="n">
        <v>45474</v>
      </c>
      <c r="C13264" s="1" t="n">
        <v>46011</v>
      </c>
      <c r="D13264" t="inlineStr">
        <is>
          <t>VÄSTRA GÖTALANDS LÄN</t>
        </is>
      </c>
      <c r="E13264" t="inlineStr">
        <is>
          <t>MARK</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28622-2024</t>
        </is>
      </c>
      <c r="B13265" s="1" t="n">
        <v>45478.44236111111</v>
      </c>
      <c r="C13265" s="1" t="n">
        <v>46011</v>
      </c>
      <c r="D13265" t="inlineStr">
        <is>
          <t>VÄSTRA GÖTALANDS LÄN</t>
        </is>
      </c>
      <c r="E13265" t="inlineStr">
        <is>
          <t>ÅMÅL</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17610-2023</t>
        </is>
      </c>
      <c r="B13266" s="1" t="n">
        <v>45036</v>
      </c>
      <c r="C13266" s="1" t="n">
        <v>46011</v>
      </c>
      <c r="D13266" t="inlineStr">
        <is>
          <t>VÄSTRA GÖTALANDS LÄN</t>
        </is>
      </c>
      <c r="E13266" t="inlineStr">
        <is>
          <t>FÄRGELANDA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10951-2024</t>
        </is>
      </c>
      <c r="B13267" s="1" t="n">
        <v>45370</v>
      </c>
      <c r="C13267" s="1" t="n">
        <v>46011</v>
      </c>
      <c r="D13267" t="inlineStr">
        <is>
          <t>VÄSTRA GÖTALANDS LÄN</t>
        </is>
      </c>
      <c r="E13267" t="inlineStr">
        <is>
          <t>ÅMÅL</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36096-2024</t>
        </is>
      </c>
      <c r="B13268" s="1" t="n">
        <v>45533.72237268519</v>
      </c>
      <c r="C13268" s="1" t="n">
        <v>46011</v>
      </c>
      <c r="D13268" t="inlineStr">
        <is>
          <t>VÄSTRA GÖTALANDS LÄN</t>
        </is>
      </c>
      <c r="E13268" t="inlineStr">
        <is>
          <t>ULRICEHAMN</t>
        </is>
      </c>
      <c r="G13268" t="n">
        <v>12.5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36103-2024</t>
        </is>
      </c>
      <c r="B13269" s="1" t="n">
        <v>45533.87207175926</v>
      </c>
      <c r="C13269" s="1" t="n">
        <v>46011</v>
      </c>
      <c r="D13269" t="inlineStr">
        <is>
          <t>VÄSTRA GÖTALANDS LÄN</t>
        </is>
      </c>
      <c r="E13269" t="inlineStr">
        <is>
          <t>SVENLJUNGA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13239-2024</t>
        </is>
      </c>
      <c r="B13270" s="1" t="n">
        <v>45386.5583449074</v>
      </c>
      <c r="C13270" s="1" t="n">
        <v>46011</v>
      </c>
      <c r="D13270" t="inlineStr">
        <is>
          <t>VÄSTRA GÖTALANDS LÄN</t>
        </is>
      </c>
      <c r="E13270" t="inlineStr">
        <is>
          <t>LYSEKIL</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23238-2024</t>
        </is>
      </c>
      <c r="B13271" s="1" t="n">
        <v>45453.33143518519</v>
      </c>
      <c r="C13271" s="1" t="n">
        <v>46011</v>
      </c>
      <c r="D13271" t="inlineStr">
        <is>
          <t>VÄSTRA GÖTALANDS LÄN</t>
        </is>
      </c>
      <c r="E13271" t="inlineStr">
        <is>
          <t>MELLERUD</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33899-2023</t>
        </is>
      </c>
      <c r="B13272" s="1" t="n">
        <v>45134.37305555555</v>
      </c>
      <c r="C13272" s="1" t="n">
        <v>46011</v>
      </c>
      <c r="D13272" t="inlineStr">
        <is>
          <t>VÄSTRA GÖTALANDS LÄN</t>
        </is>
      </c>
      <c r="E13272" t="inlineStr">
        <is>
          <t>MARK</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33925-2023</t>
        </is>
      </c>
      <c r="B13273" s="1" t="n">
        <v>45134.48231481481</v>
      </c>
      <c r="C13273" s="1" t="n">
        <v>46011</v>
      </c>
      <c r="D13273" t="inlineStr">
        <is>
          <t>VÄSTRA GÖTALANDS LÄN</t>
        </is>
      </c>
      <c r="E13273" t="inlineStr">
        <is>
          <t>VÄNERSBORG</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10675-2024</t>
        </is>
      </c>
      <c r="B13274" s="1" t="n">
        <v>45369.35518518519</v>
      </c>
      <c r="C13274" s="1" t="n">
        <v>46011</v>
      </c>
      <c r="D13274" t="inlineStr">
        <is>
          <t>VÄSTRA GÖTALANDS LÄN</t>
        </is>
      </c>
      <c r="E13274" t="inlineStr">
        <is>
          <t>TANUM</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46574-2022</t>
        </is>
      </c>
      <c r="B13275" s="1" t="n">
        <v>44848</v>
      </c>
      <c r="C13275" s="1" t="n">
        <v>46011</v>
      </c>
      <c r="D13275" t="inlineStr">
        <is>
          <t>VÄSTRA GÖTALANDS LÄN</t>
        </is>
      </c>
      <c r="E13275" t="inlineStr">
        <is>
          <t>BORÅS</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25519-2023</t>
        </is>
      </c>
      <c r="B13276" s="1" t="n">
        <v>45089.5193287037</v>
      </c>
      <c r="C13276" s="1" t="n">
        <v>46011</v>
      </c>
      <c r="D13276" t="inlineStr">
        <is>
          <t>VÄSTRA GÖTALANDS LÄN</t>
        </is>
      </c>
      <c r="E13276" t="inlineStr">
        <is>
          <t>UDDEVALLA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48837-2023</t>
        </is>
      </c>
      <c r="B13277" s="1" t="n">
        <v>45203</v>
      </c>
      <c r="C13277" s="1" t="n">
        <v>46011</v>
      </c>
      <c r="D13277" t="inlineStr">
        <is>
          <t>VÄSTRA GÖTALANDS LÄN</t>
        </is>
      </c>
      <c r="E13277" t="inlineStr">
        <is>
          <t>BENGTSFORS</t>
        </is>
      </c>
      <c r="F13277" t="inlineStr">
        <is>
          <t>Kyrkan</t>
        </is>
      </c>
      <c r="G13277" t="n">
        <v>6.8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54311-2022</t>
        </is>
      </c>
      <c r="B13278" s="1" t="n">
        <v>44882.41185185185</v>
      </c>
      <c r="C13278" s="1" t="n">
        <v>46011</v>
      </c>
      <c r="D13278" t="inlineStr">
        <is>
          <t>VÄSTRA GÖTALANDS LÄN</t>
        </is>
      </c>
      <c r="E13278" t="inlineStr">
        <is>
          <t>BOLLEBYGD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52242-2023</t>
        </is>
      </c>
      <c r="B13279" s="1" t="n">
        <v>45224</v>
      </c>
      <c r="C13279" s="1" t="n">
        <v>46011</v>
      </c>
      <c r="D13279" t="inlineStr">
        <is>
          <t>VÄSTRA GÖTALANDS LÄN</t>
        </is>
      </c>
      <c r="E13279" t="inlineStr">
        <is>
          <t>MARK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4435-2023</t>
        </is>
      </c>
      <c r="B13280" s="1" t="n">
        <v>44956.42466435185</v>
      </c>
      <c r="C13280" s="1" t="n">
        <v>46011</v>
      </c>
      <c r="D13280" t="inlineStr">
        <is>
          <t>VÄSTRA GÖTALANDS LÄN</t>
        </is>
      </c>
      <c r="E13280" t="inlineStr">
        <is>
          <t>TÖREBODA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4475-2023</t>
        </is>
      </c>
      <c r="B13281" s="1" t="n">
        <v>44956.50561342593</v>
      </c>
      <c r="C13281" s="1" t="n">
        <v>46011</v>
      </c>
      <c r="D13281" t="inlineStr">
        <is>
          <t>VÄSTRA GÖTALANDS LÄN</t>
        </is>
      </c>
      <c r="E13281" t="inlineStr">
        <is>
          <t>BENGTSFORS</t>
        </is>
      </c>
      <c r="G13281" t="n">
        <v>10</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18855-2025</t>
        </is>
      </c>
      <c r="B13282" s="1" t="n">
        <v>45764.42244212963</v>
      </c>
      <c r="C13282" s="1" t="n">
        <v>46011</v>
      </c>
      <c r="D13282" t="inlineStr">
        <is>
          <t>VÄSTRA GÖTALANDS LÄN</t>
        </is>
      </c>
      <c r="E13282" t="inlineStr">
        <is>
          <t>VÄNERSBORG</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49746-2021</t>
        </is>
      </c>
      <c r="B13283" s="1" t="n">
        <v>44455</v>
      </c>
      <c r="C13283" s="1" t="n">
        <v>46011</v>
      </c>
      <c r="D13283" t="inlineStr">
        <is>
          <t>VÄSTRA GÖTALANDS LÄN</t>
        </is>
      </c>
      <c r="E13283" t="inlineStr">
        <is>
          <t>TANUM</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5985-2024</t>
        </is>
      </c>
      <c r="B13284" s="1" t="n">
        <v>45336.56657407407</v>
      </c>
      <c r="C13284" s="1" t="n">
        <v>46011</v>
      </c>
      <c r="D13284" t="inlineStr">
        <is>
          <t>VÄSTRA GÖTALANDS LÄN</t>
        </is>
      </c>
      <c r="E13284" t="inlineStr">
        <is>
          <t>HÄRRYDA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64859-2023</t>
        </is>
      </c>
      <c r="B13285" s="1" t="n">
        <v>45280</v>
      </c>
      <c r="C13285" s="1" t="n">
        <v>46011</v>
      </c>
      <c r="D13285" t="inlineStr">
        <is>
          <t>VÄSTRA GÖTALANDS LÄN</t>
        </is>
      </c>
      <c r="E13285" t="inlineStr">
        <is>
          <t>ÅMÅL</t>
        </is>
      </c>
      <c r="F13285" t="inlineStr">
        <is>
          <t>Bergvik skog väst AB</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60274-2023</t>
        </is>
      </c>
      <c r="B13286" s="1" t="n">
        <v>45258.67806712963</v>
      </c>
      <c r="C13286" s="1" t="n">
        <v>46011</v>
      </c>
      <c r="D13286" t="inlineStr">
        <is>
          <t>VÄSTRA GÖTALANDS LÄN</t>
        </is>
      </c>
      <c r="E13286" t="inlineStr">
        <is>
          <t>ULRICEHAMN</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2202-2023</t>
        </is>
      </c>
      <c r="B13287" s="1" t="n">
        <v>44942.38057870371</v>
      </c>
      <c r="C13287" s="1" t="n">
        <v>46011</v>
      </c>
      <c r="D13287" t="inlineStr">
        <is>
          <t>VÄSTRA GÖTALANDS LÄN</t>
        </is>
      </c>
      <c r="E13287" t="inlineStr">
        <is>
          <t>HERRLJUNGA</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2284-2023</t>
        </is>
      </c>
      <c r="B13288" s="1" t="n">
        <v>44942.52454861111</v>
      </c>
      <c r="C13288" s="1" t="n">
        <v>46011</v>
      </c>
      <c r="D13288" t="inlineStr">
        <is>
          <t>VÄSTRA GÖTALANDS LÄN</t>
        </is>
      </c>
      <c r="E13288" t="inlineStr">
        <is>
          <t>DALS-ED</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58010-2022</t>
        </is>
      </c>
      <c r="B13289" s="1" t="n">
        <v>44900</v>
      </c>
      <c r="C13289" s="1" t="n">
        <v>46011</v>
      </c>
      <c r="D13289" t="inlineStr">
        <is>
          <t>VÄSTRA GÖTALANDS LÄN</t>
        </is>
      </c>
      <c r="E13289" t="inlineStr">
        <is>
          <t>BOLLEBYGD</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58011-2022</t>
        </is>
      </c>
      <c r="B13290" s="1" t="n">
        <v>44900</v>
      </c>
      <c r="C13290" s="1" t="n">
        <v>46011</v>
      </c>
      <c r="D13290" t="inlineStr">
        <is>
          <t>VÄSTRA GÖTALANDS LÄN</t>
        </is>
      </c>
      <c r="E13290" t="inlineStr">
        <is>
          <t>BOLLEBYGD</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7154-2024</t>
        </is>
      </c>
      <c r="B13291" s="1" t="n">
        <v>45344</v>
      </c>
      <c r="C13291" s="1" t="n">
        <v>46011</v>
      </c>
      <c r="D13291" t="inlineStr">
        <is>
          <t>VÄSTRA GÖTALANDS LÄN</t>
        </is>
      </c>
      <c r="E13291" t="inlineStr">
        <is>
          <t>MELLERUD</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4499-2024</t>
        </is>
      </c>
      <c r="B13292" s="1" t="n">
        <v>45327.61145833333</v>
      </c>
      <c r="C13292" s="1" t="n">
        <v>46011</v>
      </c>
      <c r="D13292" t="inlineStr">
        <is>
          <t>VÄSTRA GÖTALANDS LÄN</t>
        </is>
      </c>
      <c r="E13292" t="inlineStr">
        <is>
          <t>DALS-ED</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27334-2024</t>
        </is>
      </c>
      <c r="B13293" s="1" t="n">
        <v>45472.87659722222</v>
      </c>
      <c r="C13293" s="1" t="n">
        <v>46011</v>
      </c>
      <c r="D13293" t="inlineStr">
        <is>
          <t>VÄSTRA GÖTALANDS LÄN</t>
        </is>
      </c>
      <c r="E13293" t="inlineStr">
        <is>
          <t>BORÅS</t>
        </is>
      </c>
      <c r="G13293" t="n">
        <v>0.3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8180-2024</t>
        </is>
      </c>
      <c r="B13294" s="1" t="n">
        <v>45351.63478009259</v>
      </c>
      <c r="C13294" s="1" t="n">
        <v>46011</v>
      </c>
      <c r="D13294" t="inlineStr">
        <is>
          <t>VÄSTRA GÖTALANDS LÄN</t>
        </is>
      </c>
      <c r="E13294" t="inlineStr">
        <is>
          <t>DALS-ED</t>
        </is>
      </c>
      <c r="F13294" t="inlineStr">
        <is>
          <t>Övriga Aktiebolag</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19391-2024</t>
        </is>
      </c>
      <c r="B13295" s="1" t="n">
        <v>45429.37967592593</v>
      </c>
      <c r="C13295" s="1" t="n">
        <v>46011</v>
      </c>
      <c r="D13295" t="inlineStr">
        <is>
          <t>VÄSTRA GÖTALANDS LÄN</t>
        </is>
      </c>
      <c r="E13295" t="inlineStr">
        <is>
          <t>VÅRGÅRDA</t>
        </is>
      </c>
      <c r="G13295" t="n">
        <v>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19394-2024</t>
        </is>
      </c>
      <c r="B13296" s="1" t="n">
        <v>45429.38112268518</v>
      </c>
      <c r="C13296" s="1" t="n">
        <v>46011</v>
      </c>
      <c r="D13296" t="inlineStr">
        <is>
          <t>VÄSTRA GÖTALANDS LÄN</t>
        </is>
      </c>
      <c r="E13296" t="inlineStr">
        <is>
          <t>VÅRGÅRDA</t>
        </is>
      </c>
      <c r="G13296" t="n">
        <v>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42471-2022</t>
        </is>
      </c>
      <c r="B13297" s="1" t="n">
        <v>44831</v>
      </c>
      <c r="C13297" s="1" t="n">
        <v>46011</v>
      </c>
      <c r="D13297" t="inlineStr">
        <is>
          <t>VÄSTRA GÖTALANDS LÄN</t>
        </is>
      </c>
      <c r="E13297" t="inlineStr">
        <is>
          <t>BENGTSFORS</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37370-2024</t>
        </is>
      </c>
      <c r="B13298" s="1" t="n">
        <v>45540.56581018519</v>
      </c>
      <c r="C13298" s="1" t="n">
        <v>46011</v>
      </c>
      <c r="D13298" t="inlineStr">
        <is>
          <t>VÄSTRA GÖTALANDS LÄN</t>
        </is>
      </c>
      <c r="E13298" t="inlineStr">
        <is>
          <t>MARK</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57562-2023</t>
        </is>
      </c>
      <c r="B13299" s="1" t="n">
        <v>45246.49246527778</v>
      </c>
      <c r="C13299" s="1" t="n">
        <v>46011</v>
      </c>
      <c r="D13299" t="inlineStr">
        <is>
          <t>VÄSTRA GÖTALANDS LÄN</t>
        </is>
      </c>
      <c r="E13299" t="inlineStr">
        <is>
          <t>ULRICEHAMN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36835-2024</t>
        </is>
      </c>
      <c r="B13300" s="1" t="n">
        <v>45538.52260416667</v>
      </c>
      <c r="C13300" s="1" t="n">
        <v>46011</v>
      </c>
      <c r="D13300" t="inlineStr">
        <is>
          <t>VÄSTRA GÖTALANDS LÄN</t>
        </is>
      </c>
      <c r="E13300" t="inlineStr">
        <is>
          <t>LIDKÖPING</t>
        </is>
      </c>
      <c r="F13300" t="inlineStr">
        <is>
          <t>Kommuner</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44004-2022</t>
        </is>
      </c>
      <c r="B13301" s="1" t="n">
        <v>44838.70366898148</v>
      </c>
      <c r="C13301" s="1" t="n">
        <v>46011</v>
      </c>
      <c r="D13301" t="inlineStr">
        <is>
          <t>VÄSTRA GÖTALANDS LÄN</t>
        </is>
      </c>
      <c r="E13301" t="inlineStr">
        <is>
          <t>FALKÖPING</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40297-2024</t>
        </is>
      </c>
      <c r="B13302" s="1" t="n">
        <v>45554</v>
      </c>
      <c r="C13302" s="1" t="n">
        <v>46011</v>
      </c>
      <c r="D13302" t="inlineStr">
        <is>
          <t>VÄSTRA GÖTALANDS LÄN</t>
        </is>
      </c>
      <c r="E13302" t="inlineStr">
        <is>
          <t>UDDEVALLA</t>
        </is>
      </c>
      <c r="G13302" t="n">
        <v>6.7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58049-2023</t>
        </is>
      </c>
      <c r="B13303" s="1" t="n">
        <v>45247</v>
      </c>
      <c r="C13303" s="1" t="n">
        <v>46011</v>
      </c>
      <c r="D13303" t="inlineStr">
        <is>
          <t>VÄSTRA GÖTALANDS LÄN</t>
        </is>
      </c>
      <c r="E13303" t="inlineStr">
        <is>
          <t>VÅRGÅRDA</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24978-2022</t>
        </is>
      </c>
      <c r="B13304" s="1" t="n">
        <v>44728</v>
      </c>
      <c r="C13304" s="1" t="n">
        <v>46011</v>
      </c>
      <c r="D13304" t="inlineStr">
        <is>
          <t>VÄSTRA GÖTALANDS LÄN</t>
        </is>
      </c>
      <c r="E13304" t="inlineStr">
        <is>
          <t>MELLERUD</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33510-2023</t>
        </is>
      </c>
      <c r="B13305" s="1" t="n">
        <v>45131.48244212963</v>
      </c>
      <c r="C13305" s="1" t="n">
        <v>46011</v>
      </c>
      <c r="D13305" t="inlineStr">
        <is>
          <t>VÄSTRA GÖTALANDS LÄN</t>
        </is>
      </c>
      <c r="E13305" t="inlineStr">
        <is>
          <t>ESSUNGA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2263-2024</t>
        </is>
      </c>
      <c r="B13306" s="1" t="n">
        <v>45310.33078703703</v>
      </c>
      <c r="C13306" s="1" t="n">
        <v>46011</v>
      </c>
      <c r="D13306" t="inlineStr">
        <is>
          <t>VÄSTRA GÖTALANDS LÄN</t>
        </is>
      </c>
      <c r="E13306" t="inlineStr">
        <is>
          <t>TROLLHÄTTAN</t>
        </is>
      </c>
      <c r="F13306" t="inlineStr">
        <is>
          <t>Kommuner</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50780-2024</t>
        </is>
      </c>
      <c r="B13307" s="1" t="n">
        <v>45602.46625</v>
      </c>
      <c r="C13307" s="1" t="n">
        <v>46011</v>
      </c>
      <c r="D13307" t="inlineStr">
        <is>
          <t>VÄSTRA GÖTALANDS LÄN</t>
        </is>
      </c>
      <c r="E13307" t="inlineStr">
        <is>
          <t>TRANEMO</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50782-2024</t>
        </is>
      </c>
      <c r="B13308" s="1" t="n">
        <v>45602.46885416667</v>
      </c>
      <c r="C13308" s="1" t="n">
        <v>46011</v>
      </c>
      <c r="D13308" t="inlineStr">
        <is>
          <t>VÄSTRA GÖTALANDS LÄN</t>
        </is>
      </c>
      <c r="E13308" t="inlineStr">
        <is>
          <t>TRANEMO</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38986-2023</t>
        </is>
      </c>
      <c r="B13309" s="1" t="n">
        <v>45163.65444444444</v>
      </c>
      <c r="C13309" s="1" t="n">
        <v>46011</v>
      </c>
      <c r="D13309" t="inlineStr">
        <is>
          <t>VÄSTRA GÖTALANDS LÄN</t>
        </is>
      </c>
      <c r="E13309" t="inlineStr">
        <is>
          <t>ULRICEHAMN</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26529-2024</t>
        </is>
      </c>
      <c r="B13310" s="1" t="n">
        <v>45469</v>
      </c>
      <c r="C13310" s="1" t="n">
        <v>46011</v>
      </c>
      <c r="D13310" t="inlineStr">
        <is>
          <t>VÄSTRA GÖTALANDS LÄN</t>
        </is>
      </c>
      <c r="E13310" t="inlineStr">
        <is>
          <t>TIDAHOLM</t>
        </is>
      </c>
      <c r="F13310" t="inlineStr">
        <is>
          <t>Sveaskog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34355-2024</t>
        </is>
      </c>
      <c r="B13311" s="1" t="n">
        <v>45525.36525462963</v>
      </c>
      <c r="C13311" s="1" t="n">
        <v>46011</v>
      </c>
      <c r="D13311" t="inlineStr">
        <is>
          <t>VÄSTRA GÖTALANDS LÄN</t>
        </is>
      </c>
      <c r="E13311" t="inlineStr">
        <is>
          <t>BORÅS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18440-2025</t>
        </is>
      </c>
      <c r="B13312" s="1" t="n">
        <v>45762.65361111111</v>
      </c>
      <c r="C13312" s="1" t="n">
        <v>46011</v>
      </c>
      <c r="D13312" t="inlineStr">
        <is>
          <t>VÄSTRA GÖTALANDS LÄN</t>
        </is>
      </c>
      <c r="E13312" t="inlineStr">
        <is>
          <t>MELLERUD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61770-2022</t>
        </is>
      </c>
      <c r="B13313" s="1" t="n">
        <v>44917.51208333333</v>
      </c>
      <c r="C13313" s="1" t="n">
        <v>46011</v>
      </c>
      <c r="D13313" t="inlineStr">
        <is>
          <t>VÄSTRA GÖTALANDS LÄN</t>
        </is>
      </c>
      <c r="E13313" t="inlineStr">
        <is>
          <t>HERRLJUNGA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35142-2024</t>
        </is>
      </c>
      <c r="B13314" s="1" t="n">
        <v>45530.35858796296</v>
      </c>
      <c r="C13314" s="1" t="n">
        <v>46011</v>
      </c>
      <c r="D13314" t="inlineStr">
        <is>
          <t>VÄSTRA GÖTALANDS LÄN</t>
        </is>
      </c>
      <c r="E13314" t="inlineStr">
        <is>
          <t>TIDAHOLM</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35169-2024</t>
        </is>
      </c>
      <c r="B13315" s="1" t="n">
        <v>45530.40872685185</v>
      </c>
      <c r="C13315" s="1" t="n">
        <v>46011</v>
      </c>
      <c r="D13315" t="inlineStr">
        <is>
          <t>VÄSTRA GÖTALANDS LÄN</t>
        </is>
      </c>
      <c r="E13315" t="inlineStr">
        <is>
          <t>MARIESTAD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61997-2023</t>
        </is>
      </c>
      <c r="B13316" s="1" t="n">
        <v>45266</v>
      </c>
      <c r="C13316" s="1" t="n">
        <v>46011</v>
      </c>
      <c r="D13316" t="inlineStr">
        <is>
          <t>VÄSTRA GÖTALANDS LÄN</t>
        </is>
      </c>
      <c r="E13316" t="inlineStr">
        <is>
          <t>SVENLJUNGA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64291-2023</t>
        </is>
      </c>
      <c r="B13317" s="1" t="n">
        <v>45280</v>
      </c>
      <c r="C13317" s="1" t="n">
        <v>46011</v>
      </c>
      <c r="D13317" t="inlineStr">
        <is>
          <t>VÄSTRA GÖTALANDS LÄN</t>
        </is>
      </c>
      <c r="E13317" t="inlineStr">
        <is>
          <t>HÄRRYDA</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17836-2024</t>
        </is>
      </c>
      <c r="B13318" s="1" t="n">
        <v>45418</v>
      </c>
      <c r="C13318" s="1" t="n">
        <v>46011</v>
      </c>
      <c r="D13318" t="inlineStr">
        <is>
          <t>VÄSTRA GÖTALANDS LÄN</t>
        </is>
      </c>
      <c r="E13318" t="inlineStr">
        <is>
          <t>BENGTSFORS</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14514-2024</t>
        </is>
      </c>
      <c r="B13319" s="1" t="n">
        <v>45394</v>
      </c>
      <c r="C13319" s="1" t="n">
        <v>46011</v>
      </c>
      <c r="D13319" t="inlineStr">
        <is>
          <t>VÄSTRA GÖTALANDS LÄN</t>
        </is>
      </c>
      <c r="E13319" t="inlineStr">
        <is>
          <t>KARLSBORG</t>
        </is>
      </c>
      <c r="F13319" t="inlineStr">
        <is>
          <t>Sveaskog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11797-2024</t>
        </is>
      </c>
      <c r="B13320" s="1" t="n">
        <v>45375.38054398148</v>
      </c>
      <c r="C13320" s="1" t="n">
        <v>46011</v>
      </c>
      <c r="D13320" t="inlineStr">
        <is>
          <t>VÄSTRA GÖTALANDS LÄN</t>
        </is>
      </c>
      <c r="E13320" t="inlineStr">
        <is>
          <t>VÅRGÅRDA</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11920-2024</t>
        </is>
      </c>
      <c r="B13321" s="1" t="n">
        <v>45376.61655092592</v>
      </c>
      <c r="C13321" s="1" t="n">
        <v>46011</v>
      </c>
      <c r="D13321" t="inlineStr">
        <is>
          <t>VÄSTRA GÖTALANDS LÄN</t>
        </is>
      </c>
      <c r="E13321" t="inlineStr">
        <is>
          <t>BENGTSFORS</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34436-2022</t>
        </is>
      </c>
      <c r="B13322" s="1" t="n">
        <v>44792</v>
      </c>
      <c r="C13322" s="1" t="n">
        <v>46011</v>
      </c>
      <c r="D13322" t="inlineStr">
        <is>
          <t>VÄSTRA GÖTALANDS LÄN</t>
        </is>
      </c>
      <c r="E13322" t="inlineStr">
        <is>
          <t>TÖREBODA</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59865-2024</t>
        </is>
      </c>
      <c r="B13323" s="1" t="n">
        <v>45639.84203703704</v>
      </c>
      <c r="C13323" s="1" t="n">
        <v>46011</v>
      </c>
      <c r="D13323" t="inlineStr">
        <is>
          <t>VÄSTRA GÖTALANDS LÄN</t>
        </is>
      </c>
      <c r="E13323" t="inlineStr">
        <is>
          <t>MELLERUD</t>
        </is>
      </c>
      <c r="G13323" t="n">
        <v>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4316-2025</t>
        </is>
      </c>
      <c r="B13324" s="1" t="n">
        <v>45685.70467592592</v>
      </c>
      <c r="C13324" s="1" t="n">
        <v>46011</v>
      </c>
      <c r="D13324" t="inlineStr">
        <is>
          <t>VÄSTRA GÖTALANDS LÄN</t>
        </is>
      </c>
      <c r="E13324" t="inlineStr">
        <is>
          <t>SKÖVDE</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4378-2025</t>
        </is>
      </c>
      <c r="B13325" s="1" t="n">
        <v>45686.39112268519</v>
      </c>
      <c r="C13325" s="1" t="n">
        <v>46011</v>
      </c>
      <c r="D13325" t="inlineStr">
        <is>
          <t>VÄSTRA GÖTALANDS LÄN</t>
        </is>
      </c>
      <c r="E13325" t="inlineStr">
        <is>
          <t>MARK</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49825-2024</t>
        </is>
      </c>
      <c r="B13326" s="1" t="n">
        <v>45597.40795138889</v>
      </c>
      <c r="C13326" s="1" t="n">
        <v>46011</v>
      </c>
      <c r="D13326" t="inlineStr">
        <is>
          <t>VÄSTRA GÖTALANDS LÄN</t>
        </is>
      </c>
      <c r="E13326" t="inlineStr">
        <is>
          <t>ULRICEHAMN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56334-2024</t>
        </is>
      </c>
      <c r="B13327" s="1" t="n">
        <v>45624.80081018519</v>
      </c>
      <c r="C13327" s="1" t="n">
        <v>46011</v>
      </c>
      <c r="D13327" t="inlineStr">
        <is>
          <t>VÄSTRA GÖTALANDS LÄN</t>
        </is>
      </c>
      <c r="E13327" t="inlineStr">
        <is>
          <t>BOLLEBYGD</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42838-2022</t>
        </is>
      </c>
      <c r="B13328" s="1" t="n">
        <v>44832.65980324074</v>
      </c>
      <c r="C13328" s="1" t="n">
        <v>46011</v>
      </c>
      <c r="D13328" t="inlineStr">
        <is>
          <t>VÄSTRA GÖTALANDS LÄN</t>
        </is>
      </c>
      <c r="E13328" t="inlineStr">
        <is>
          <t>FALKÖPING</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34670-2022</t>
        </is>
      </c>
      <c r="B13329" s="1" t="n">
        <v>44795.48201388889</v>
      </c>
      <c r="C13329" s="1" t="n">
        <v>46011</v>
      </c>
      <c r="D13329" t="inlineStr">
        <is>
          <t>VÄSTRA GÖTALANDS LÄN</t>
        </is>
      </c>
      <c r="E13329" t="inlineStr">
        <is>
          <t>KARLSBORG</t>
        </is>
      </c>
      <c r="F13329" t="inlineStr">
        <is>
          <t>Sveaskog</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63012-2023</t>
        </is>
      </c>
      <c r="B13330" s="1" t="n">
        <v>45272.67701388889</v>
      </c>
      <c r="C13330" s="1" t="n">
        <v>46011</v>
      </c>
      <c r="D13330" t="inlineStr">
        <is>
          <t>VÄSTRA GÖTALANDS LÄN</t>
        </is>
      </c>
      <c r="E13330" t="inlineStr">
        <is>
          <t>ULRICEHAMN</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2325-2024</t>
        </is>
      </c>
      <c r="B13331" s="1" t="n">
        <v>45310</v>
      </c>
      <c r="C13331" s="1" t="n">
        <v>46011</v>
      </c>
      <c r="D13331" t="inlineStr">
        <is>
          <t>VÄSTRA GÖTALANDS LÄN</t>
        </is>
      </c>
      <c r="E13331" t="inlineStr">
        <is>
          <t>TRANEMO</t>
        </is>
      </c>
      <c r="F13331" t="inlineStr">
        <is>
          <t>Kommuner</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19481-2023</t>
        </is>
      </c>
      <c r="B13332" s="1" t="n">
        <v>45050.43728009259</v>
      </c>
      <c r="C13332" s="1" t="n">
        <v>46011</v>
      </c>
      <c r="D13332" t="inlineStr">
        <is>
          <t>VÄSTRA GÖTALANDS LÄN</t>
        </is>
      </c>
      <c r="E13332" t="inlineStr">
        <is>
          <t>BORÅS</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19483-2023</t>
        </is>
      </c>
      <c r="B13333" s="1" t="n">
        <v>45050.44355324074</v>
      </c>
      <c r="C13333" s="1" t="n">
        <v>46011</v>
      </c>
      <c r="D13333" t="inlineStr">
        <is>
          <t>VÄSTRA GÖTALANDS LÄN</t>
        </is>
      </c>
      <c r="E13333" t="inlineStr">
        <is>
          <t>BORÅS</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45000-2024</t>
        </is>
      </c>
      <c r="B13334" s="1" t="n">
        <v>45575</v>
      </c>
      <c r="C13334" s="1" t="n">
        <v>46011</v>
      </c>
      <c r="D13334" t="inlineStr">
        <is>
          <t>VÄSTRA GÖTALANDS LÄN</t>
        </is>
      </c>
      <c r="E13334" t="inlineStr">
        <is>
          <t>STENUNGSUND</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18205-2024</t>
        </is>
      </c>
      <c r="B13335" s="1" t="n">
        <v>45420.69327546296</v>
      </c>
      <c r="C13335" s="1" t="n">
        <v>46011</v>
      </c>
      <c r="D13335" t="inlineStr">
        <is>
          <t>VÄSTRA GÖTALANDS LÄN</t>
        </is>
      </c>
      <c r="E13335" t="inlineStr">
        <is>
          <t>MELLERUD</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18772-2025</t>
        </is>
      </c>
      <c r="B13336" s="1" t="n">
        <v>45763</v>
      </c>
      <c r="C13336" s="1" t="n">
        <v>46011</v>
      </c>
      <c r="D13336" t="inlineStr">
        <is>
          <t>VÄSTRA GÖTALANDS LÄN</t>
        </is>
      </c>
      <c r="E13336" t="inlineStr">
        <is>
          <t>GULLSPÅNG</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12476-2023</t>
        </is>
      </c>
      <c r="B13337" s="1" t="n">
        <v>44999.64097222222</v>
      </c>
      <c r="C13337" s="1" t="n">
        <v>46011</v>
      </c>
      <c r="D13337" t="inlineStr">
        <is>
          <t>VÄSTRA GÖTALANDS LÄN</t>
        </is>
      </c>
      <c r="E13337" t="inlineStr">
        <is>
          <t>GULLSPÅNG</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52331-2023</t>
        </is>
      </c>
      <c r="B13338" s="1" t="n">
        <v>45224</v>
      </c>
      <c r="C13338" s="1" t="n">
        <v>46011</v>
      </c>
      <c r="D13338" t="inlineStr">
        <is>
          <t>VÄSTRA GÖTALANDS LÄN</t>
        </is>
      </c>
      <c r="E13338" t="inlineStr">
        <is>
          <t>BENGTSFORS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61026-2022</t>
        </is>
      </c>
      <c r="B13339" s="1" t="n">
        <v>44914.8635300926</v>
      </c>
      <c r="C13339" s="1" t="n">
        <v>46011</v>
      </c>
      <c r="D13339" t="inlineStr">
        <is>
          <t>VÄSTRA GÖTALANDS LÄN</t>
        </is>
      </c>
      <c r="E13339" t="inlineStr">
        <is>
          <t>BOLLEBYGD</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16687-2025</t>
        </is>
      </c>
      <c r="B13340" s="1" t="n">
        <v>45754.45372685185</v>
      </c>
      <c r="C13340" s="1" t="n">
        <v>46011</v>
      </c>
      <c r="D13340" t="inlineStr">
        <is>
          <t>VÄSTRA GÖTALANDS LÄN</t>
        </is>
      </c>
      <c r="E13340" t="inlineStr">
        <is>
          <t>TIBRO</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62220-2022</t>
        </is>
      </c>
      <c r="B13341" s="1" t="n">
        <v>44922.66780092593</v>
      </c>
      <c r="C13341" s="1" t="n">
        <v>46011</v>
      </c>
      <c r="D13341" t="inlineStr">
        <is>
          <t>VÄSTRA GÖTALANDS LÄN</t>
        </is>
      </c>
      <c r="E13341" t="inlineStr">
        <is>
          <t>TIBRO</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18437-2025</t>
        </is>
      </c>
      <c r="B13342" s="1" t="n">
        <v>45762.65144675926</v>
      </c>
      <c r="C13342" s="1" t="n">
        <v>46011</v>
      </c>
      <c r="D13342" t="inlineStr">
        <is>
          <t>VÄSTRA GÖTALANDS LÄN</t>
        </is>
      </c>
      <c r="E13342" t="inlineStr">
        <is>
          <t>DALS-ED</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43564-2021</t>
        </is>
      </c>
      <c r="B13343" s="1" t="n">
        <v>44433</v>
      </c>
      <c r="C13343" s="1" t="n">
        <v>46011</v>
      </c>
      <c r="D13343" t="inlineStr">
        <is>
          <t>VÄSTRA GÖTALANDS LÄN</t>
        </is>
      </c>
      <c r="E13343" t="inlineStr">
        <is>
          <t>SKARA</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18543-2025</t>
        </is>
      </c>
      <c r="B13344" s="1" t="n">
        <v>45762</v>
      </c>
      <c r="C13344" s="1" t="n">
        <v>46011</v>
      </c>
      <c r="D13344" t="inlineStr">
        <is>
          <t>VÄSTRA GÖTALANDS LÄN</t>
        </is>
      </c>
      <c r="E13344" t="inlineStr">
        <is>
          <t>BORÅS</t>
        </is>
      </c>
      <c r="F13344" t="inlineStr">
        <is>
          <t>Kommuner</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37305-2022</t>
        </is>
      </c>
      <c r="B13345" s="1" t="n">
        <v>44808.94498842592</v>
      </c>
      <c r="C13345" s="1" t="n">
        <v>46011</v>
      </c>
      <c r="D13345" t="inlineStr">
        <is>
          <t>VÄSTRA GÖTALANDS LÄN</t>
        </is>
      </c>
      <c r="E13345" t="inlineStr">
        <is>
          <t>TROLLHÄTTAN</t>
        </is>
      </c>
      <c r="G13345" t="n">
        <v>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45001-2024</t>
        </is>
      </c>
      <c r="B13346" s="1" t="n">
        <v>45575.48587962963</v>
      </c>
      <c r="C13346" s="1" t="n">
        <v>46011</v>
      </c>
      <c r="D13346" t="inlineStr">
        <is>
          <t>VÄSTRA GÖTALANDS LÄN</t>
        </is>
      </c>
      <c r="E13346" t="inlineStr">
        <is>
          <t>BENGTSFORS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30432-2023</t>
        </is>
      </c>
      <c r="B13347" s="1" t="n">
        <v>45111.54543981481</v>
      </c>
      <c r="C13347" s="1" t="n">
        <v>46011</v>
      </c>
      <c r="D13347" t="inlineStr">
        <is>
          <t>VÄSTRA GÖTALANDS LÄN</t>
        </is>
      </c>
      <c r="E13347" t="inlineStr">
        <is>
          <t>BENGTSFORS</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30443-2023</t>
        </is>
      </c>
      <c r="B13348" s="1" t="n">
        <v>45111.56303240741</v>
      </c>
      <c r="C13348" s="1" t="n">
        <v>46011</v>
      </c>
      <c r="D13348" t="inlineStr">
        <is>
          <t>VÄSTRA GÖTALANDS LÄN</t>
        </is>
      </c>
      <c r="E13348" t="inlineStr">
        <is>
          <t>FALKÖPING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45617-2024</t>
        </is>
      </c>
      <c r="B13349" s="1" t="n">
        <v>45579.45523148148</v>
      </c>
      <c r="C13349" s="1" t="n">
        <v>46011</v>
      </c>
      <c r="D13349" t="inlineStr">
        <is>
          <t>VÄSTRA GÖTALANDS LÄN</t>
        </is>
      </c>
      <c r="E13349" t="inlineStr">
        <is>
          <t>STRÖMSTAD</t>
        </is>
      </c>
      <c r="G13349" t="n">
        <v>5.3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32952-2023</t>
        </is>
      </c>
      <c r="B13350" s="1" t="n">
        <v>45125.49396990741</v>
      </c>
      <c r="C13350" s="1" t="n">
        <v>46011</v>
      </c>
      <c r="D13350" t="inlineStr">
        <is>
          <t>VÄSTRA GÖTALANDS LÄN</t>
        </is>
      </c>
      <c r="E13350" t="inlineStr">
        <is>
          <t>LIDKÖPING</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63725-2023</t>
        </is>
      </c>
      <c r="B13351" s="1" t="n">
        <v>45276</v>
      </c>
      <c r="C13351" s="1" t="n">
        <v>46011</v>
      </c>
      <c r="D13351" t="inlineStr">
        <is>
          <t>VÄSTRA GÖTALANDS LÄN</t>
        </is>
      </c>
      <c r="E13351" t="inlineStr">
        <is>
          <t>BOLLEBYGD</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63762-2023</t>
        </is>
      </c>
      <c r="B13352" s="1" t="n">
        <v>45278</v>
      </c>
      <c r="C13352" s="1" t="n">
        <v>46011</v>
      </c>
      <c r="D13352" t="inlineStr">
        <is>
          <t>VÄSTRA GÖTALANDS LÄN</t>
        </is>
      </c>
      <c r="E13352" t="inlineStr">
        <is>
          <t>FÄRGELANDA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12889-2022</t>
        </is>
      </c>
      <c r="B13353" s="1" t="n">
        <v>44642.5922337963</v>
      </c>
      <c r="C13353" s="1" t="n">
        <v>46011</v>
      </c>
      <c r="D13353" t="inlineStr">
        <is>
          <t>VÄSTRA GÖTALANDS LÄN</t>
        </is>
      </c>
      <c r="E13353" t="inlineStr">
        <is>
          <t>SKARA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25651-2023</t>
        </is>
      </c>
      <c r="B13354" s="1" t="n">
        <v>45089</v>
      </c>
      <c r="C13354" s="1" t="n">
        <v>46011</v>
      </c>
      <c r="D13354" t="inlineStr">
        <is>
          <t>VÄSTRA GÖTALANDS LÄN</t>
        </is>
      </c>
      <c r="E13354" t="inlineStr">
        <is>
          <t>ULRICEHAMN</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56614-2024</t>
        </is>
      </c>
      <c r="B13355" s="1" t="n">
        <v>45625</v>
      </c>
      <c r="C13355" s="1" t="n">
        <v>46011</v>
      </c>
      <c r="D13355" t="inlineStr">
        <is>
          <t>VÄSTRA GÖTALANDS LÄN</t>
        </is>
      </c>
      <c r="E13355" t="inlineStr">
        <is>
          <t>TÖREBODA</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10592-2025</t>
        </is>
      </c>
      <c r="B13356" s="1" t="n">
        <v>45721.5662962963</v>
      </c>
      <c r="C13356" s="1" t="n">
        <v>46011</v>
      </c>
      <c r="D13356" t="inlineStr">
        <is>
          <t>VÄSTRA GÖTALANDS LÄN</t>
        </is>
      </c>
      <c r="E13356" t="inlineStr">
        <is>
          <t>TÖREBODA</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58127-2024</t>
        </is>
      </c>
      <c r="B13357" s="1" t="n">
        <v>45632.40393518518</v>
      </c>
      <c r="C13357" s="1" t="n">
        <v>46011</v>
      </c>
      <c r="D13357" t="inlineStr">
        <is>
          <t>VÄSTRA GÖTALANDS LÄN</t>
        </is>
      </c>
      <c r="E13357" t="inlineStr">
        <is>
          <t>KARLSBORG</t>
        </is>
      </c>
      <c r="F13357" t="inlineStr">
        <is>
          <t>Sveaskog</t>
        </is>
      </c>
      <c r="G13357" t="n">
        <v>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44445-2023</t>
        </is>
      </c>
      <c r="B13358" s="1" t="n">
        <v>45189.37668981482</v>
      </c>
      <c r="C13358" s="1" t="n">
        <v>46011</v>
      </c>
      <c r="D13358" t="inlineStr">
        <is>
          <t>VÄSTRA GÖTALANDS LÄN</t>
        </is>
      </c>
      <c r="E13358" t="inlineStr">
        <is>
          <t>LILLA EDET</t>
        </is>
      </c>
      <c r="G13358" t="n">
        <v>3.8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44451-2023</t>
        </is>
      </c>
      <c r="B13359" s="1" t="n">
        <v>45183</v>
      </c>
      <c r="C13359" s="1" t="n">
        <v>46011</v>
      </c>
      <c r="D13359" t="inlineStr">
        <is>
          <t>VÄSTRA GÖTALANDS LÄN</t>
        </is>
      </c>
      <c r="E13359" t="inlineStr">
        <is>
          <t>TIDAHOLM</t>
        </is>
      </c>
      <c r="F13359" t="inlineStr">
        <is>
          <t>Allmännings- och besparingsskogar</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3569-2023</t>
        </is>
      </c>
      <c r="B13360" s="1" t="n">
        <v>44950.48391203704</v>
      </c>
      <c r="C13360" s="1" t="n">
        <v>46011</v>
      </c>
      <c r="D13360" t="inlineStr">
        <is>
          <t>VÄSTRA GÖTALANDS LÄN</t>
        </is>
      </c>
      <c r="E13360" t="inlineStr">
        <is>
          <t>STENUNGSUND</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3611-2023</t>
        </is>
      </c>
      <c r="B13361" s="1" t="n">
        <v>44946</v>
      </c>
      <c r="C13361" s="1" t="n">
        <v>46011</v>
      </c>
      <c r="D13361" t="inlineStr">
        <is>
          <t>VÄSTRA GÖTALANDS LÄN</t>
        </is>
      </c>
      <c r="E13361" t="inlineStr">
        <is>
          <t>MUNKEDAL</t>
        </is>
      </c>
      <c r="F13361" t="inlineStr">
        <is>
          <t>Övriga Aktiebolag</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8684-2024</t>
        </is>
      </c>
      <c r="B13362" s="1" t="n">
        <v>45356.36320601852</v>
      </c>
      <c r="C13362" s="1" t="n">
        <v>46011</v>
      </c>
      <c r="D13362" t="inlineStr">
        <is>
          <t>VÄSTRA GÖTALANDS LÄN</t>
        </is>
      </c>
      <c r="E13362" t="inlineStr">
        <is>
          <t>STENUNGSUND</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2446-2024</t>
        </is>
      </c>
      <c r="B13363" s="1" t="n">
        <v>45311</v>
      </c>
      <c r="C13363" s="1" t="n">
        <v>46011</v>
      </c>
      <c r="D13363" t="inlineStr">
        <is>
          <t>VÄSTRA GÖTALANDS LÄN</t>
        </is>
      </c>
      <c r="E13363" t="inlineStr">
        <is>
          <t>TANUM</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4194-2024</t>
        </is>
      </c>
      <c r="B13364" s="1" t="n">
        <v>45324</v>
      </c>
      <c r="C13364" s="1" t="n">
        <v>46011</v>
      </c>
      <c r="D13364" t="inlineStr">
        <is>
          <t>VÄSTRA GÖTALANDS LÄN</t>
        </is>
      </c>
      <c r="E13364" t="inlineStr">
        <is>
          <t>TÖREBODA</t>
        </is>
      </c>
      <c r="G13364" t="n">
        <v>28.9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12256-2023</t>
        </is>
      </c>
      <c r="B13365" s="1" t="n">
        <v>44998</v>
      </c>
      <c r="C13365" s="1" t="n">
        <v>46011</v>
      </c>
      <c r="D13365" t="inlineStr">
        <is>
          <t>VÄSTRA GÖTALANDS LÄN</t>
        </is>
      </c>
      <c r="E13365" t="inlineStr">
        <is>
          <t>TRANEMO</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4206-2024</t>
        </is>
      </c>
      <c r="B13366" s="1" t="n">
        <v>45324</v>
      </c>
      <c r="C13366" s="1" t="n">
        <v>46011</v>
      </c>
      <c r="D13366" t="inlineStr">
        <is>
          <t>VÄSTRA GÖTALANDS LÄN</t>
        </is>
      </c>
      <c r="E13366" t="inlineStr">
        <is>
          <t>FÄRGELANDA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25168-2023</t>
        </is>
      </c>
      <c r="B13367" s="1" t="n">
        <v>45086.51451388889</v>
      </c>
      <c r="C13367" s="1" t="n">
        <v>46011</v>
      </c>
      <c r="D13367" t="inlineStr">
        <is>
          <t>VÄSTRA GÖTALANDS LÄN</t>
        </is>
      </c>
      <c r="E13367" t="inlineStr">
        <is>
          <t>SKÖVDE</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50183-2024</t>
        </is>
      </c>
      <c r="B13368" s="1" t="n">
        <v>45599</v>
      </c>
      <c r="C13368" s="1" t="n">
        <v>46011</v>
      </c>
      <c r="D13368" t="inlineStr">
        <is>
          <t>VÄSTRA GÖTALANDS LÄN</t>
        </is>
      </c>
      <c r="E13368" t="inlineStr">
        <is>
          <t>TANUM</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41213-2024</t>
        </is>
      </c>
      <c r="B13369" s="1" t="n">
        <v>45559</v>
      </c>
      <c r="C13369" s="1" t="n">
        <v>46011</v>
      </c>
      <c r="D13369" t="inlineStr">
        <is>
          <t>VÄSTRA GÖTALANDS LÄN</t>
        </is>
      </c>
      <c r="E13369" t="inlineStr">
        <is>
          <t>BENGTSFORS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17543-2023</t>
        </is>
      </c>
      <c r="B13370" s="1" t="n">
        <v>45036.49178240741</v>
      </c>
      <c r="C13370" s="1" t="n">
        <v>46011</v>
      </c>
      <c r="D13370" t="inlineStr">
        <is>
          <t>VÄSTRA GÖTALANDS LÄN</t>
        </is>
      </c>
      <c r="E13370" t="inlineStr">
        <is>
          <t>MELLERUD</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12026-2024</t>
        </is>
      </c>
      <c r="B13371" s="1" t="n">
        <v>45377.37309027778</v>
      </c>
      <c r="C13371" s="1" t="n">
        <v>46011</v>
      </c>
      <c r="D13371" t="inlineStr">
        <is>
          <t>VÄSTRA GÖTALANDS LÄN</t>
        </is>
      </c>
      <c r="E13371" t="inlineStr">
        <is>
          <t>VARA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30377-2024</t>
        </is>
      </c>
      <c r="B13372" s="1" t="n">
        <v>45491</v>
      </c>
      <c r="C13372" s="1" t="n">
        <v>46011</v>
      </c>
      <c r="D13372" t="inlineStr">
        <is>
          <t>VÄSTRA GÖTALANDS LÄN</t>
        </is>
      </c>
      <c r="E13372" t="inlineStr">
        <is>
          <t>HERRLJUNGA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12127-2024</t>
        </is>
      </c>
      <c r="B13373" s="1" t="n">
        <v>45377.64670138889</v>
      </c>
      <c r="C13373" s="1" t="n">
        <v>46011</v>
      </c>
      <c r="D13373" t="inlineStr">
        <is>
          <t>VÄSTRA GÖTALANDS LÄN</t>
        </is>
      </c>
      <c r="E13373" t="inlineStr">
        <is>
          <t>MARK</t>
        </is>
      </c>
      <c r="F13373" t="inlineStr">
        <is>
          <t>Kyrkan</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17629-2023</t>
        </is>
      </c>
      <c r="B13374" s="1" t="n">
        <v>45036.66107638889</v>
      </c>
      <c r="C13374" s="1" t="n">
        <v>46011</v>
      </c>
      <c r="D13374" t="inlineStr">
        <is>
          <t>VÄSTRA GÖTALANDS LÄN</t>
        </is>
      </c>
      <c r="E13374" t="inlineStr">
        <is>
          <t>FALKÖPING</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418-2023</t>
        </is>
      </c>
      <c r="B13375" s="1" t="n">
        <v>44929</v>
      </c>
      <c r="C13375" s="1" t="n">
        <v>46011</v>
      </c>
      <c r="D13375" t="inlineStr">
        <is>
          <t>VÄSTRA GÖTALANDS LÄN</t>
        </is>
      </c>
      <c r="E13375" t="inlineStr">
        <is>
          <t>TIBRO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7431-2023</t>
        </is>
      </c>
      <c r="B13376" s="1" t="n">
        <v>44971.56972222222</v>
      </c>
      <c r="C13376" s="1" t="n">
        <v>46011</v>
      </c>
      <c r="D13376" t="inlineStr">
        <is>
          <t>VÄSTRA GÖTALANDS LÄN</t>
        </is>
      </c>
      <c r="E13376" t="inlineStr">
        <is>
          <t>BENGTSFORS</t>
        </is>
      </c>
      <c r="G13376" t="n">
        <v>7.1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10836-2023</t>
        </is>
      </c>
      <c r="B13377" s="1" t="n">
        <v>44991</v>
      </c>
      <c r="C13377" s="1" t="n">
        <v>46011</v>
      </c>
      <c r="D13377" t="inlineStr">
        <is>
          <t>VÄSTRA GÖTALANDS LÄN</t>
        </is>
      </c>
      <c r="E13377" t="inlineStr">
        <is>
          <t>TIBRO</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8544-2023</t>
        </is>
      </c>
      <c r="B13378" s="1" t="n">
        <v>44977</v>
      </c>
      <c r="C13378" s="1" t="n">
        <v>46011</v>
      </c>
      <c r="D13378" t="inlineStr">
        <is>
          <t>VÄSTRA GÖTALANDS LÄN</t>
        </is>
      </c>
      <c r="E13378" t="inlineStr">
        <is>
          <t>STENUNGSUND</t>
        </is>
      </c>
      <c r="G13378" t="n">
        <v>8.199999999999999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8185-2023</t>
        </is>
      </c>
      <c r="B13379" s="1" t="n">
        <v>44974.49958333333</v>
      </c>
      <c r="C13379" s="1" t="n">
        <v>46011</v>
      </c>
      <c r="D13379" t="inlineStr">
        <is>
          <t>VÄSTRA GÖTALANDS LÄN</t>
        </is>
      </c>
      <c r="E13379" t="inlineStr">
        <is>
          <t>FÄRGELANDA</t>
        </is>
      </c>
      <c r="G13379" t="n">
        <v>7.1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9527-2023</t>
        </is>
      </c>
      <c r="B13380" s="1" t="n">
        <v>44981</v>
      </c>
      <c r="C13380" s="1" t="n">
        <v>46011</v>
      </c>
      <c r="D13380" t="inlineStr">
        <is>
          <t>VÄSTRA GÖTALANDS LÄN</t>
        </is>
      </c>
      <c r="E13380" t="inlineStr">
        <is>
          <t>BOLLEBYGD</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70295-2021</t>
        </is>
      </c>
      <c r="B13381" s="1" t="n">
        <v>44536.40289351852</v>
      </c>
      <c r="C13381" s="1" t="n">
        <v>46011</v>
      </c>
      <c r="D13381" t="inlineStr">
        <is>
          <t>VÄSTRA GÖTALANDS LÄN</t>
        </is>
      </c>
      <c r="E13381" t="inlineStr">
        <is>
          <t>MARIESTAD</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3968-2024</t>
        </is>
      </c>
      <c r="B13382" s="1" t="n">
        <v>45322.71071759259</v>
      </c>
      <c r="C13382" s="1" t="n">
        <v>46011</v>
      </c>
      <c r="D13382" t="inlineStr">
        <is>
          <t>VÄSTRA GÖTALANDS LÄN</t>
        </is>
      </c>
      <c r="E13382" t="inlineStr">
        <is>
          <t>TÖREBODA</t>
        </is>
      </c>
      <c r="G13382" t="n">
        <v>5.9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7382-2023</t>
        </is>
      </c>
      <c r="B13383" s="1" t="n">
        <v>44971.45362268519</v>
      </c>
      <c r="C13383" s="1" t="n">
        <v>46011</v>
      </c>
      <c r="D13383" t="inlineStr">
        <is>
          <t>VÄSTRA GÖTALANDS LÄN</t>
        </is>
      </c>
      <c r="E13383" t="inlineStr">
        <is>
          <t>ULRICEHAMN</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21639-2024</t>
        </is>
      </c>
      <c r="B13384" s="1" t="n">
        <v>45442.34746527778</v>
      </c>
      <c r="C13384" s="1" t="n">
        <v>46011</v>
      </c>
      <c r="D13384" t="inlineStr">
        <is>
          <t>VÄSTRA GÖTALANDS LÄN</t>
        </is>
      </c>
      <c r="E13384" t="inlineStr">
        <is>
          <t>MARK</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22901-2024</t>
        </is>
      </c>
      <c r="B13385" s="1" t="n">
        <v>45448.70333333333</v>
      </c>
      <c r="C13385" s="1" t="n">
        <v>46011</v>
      </c>
      <c r="D13385" t="inlineStr">
        <is>
          <t>VÄSTRA GÖTALANDS LÄN</t>
        </is>
      </c>
      <c r="E13385" t="inlineStr">
        <is>
          <t>VARA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29402-2024</t>
        </is>
      </c>
      <c r="B13386" s="1" t="n">
        <v>45483.66359953704</v>
      </c>
      <c r="C13386" s="1" t="n">
        <v>46011</v>
      </c>
      <c r="D13386" t="inlineStr">
        <is>
          <t>VÄSTRA GÖTALANDS LÄN</t>
        </is>
      </c>
      <c r="E13386" t="inlineStr">
        <is>
          <t>MELLERUD</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8379-2023</t>
        </is>
      </c>
      <c r="B13387" s="1" t="n">
        <v>44977.39880787037</v>
      </c>
      <c r="C13387" s="1" t="n">
        <v>46011</v>
      </c>
      <c r="D13387" t="inlineStr">
        <is>
          <t>VÄSTRA GÖTALANDS LÄN</t>
        </is>
      </c>
      <c r="E13387" t="inlineStr">
        <is>
          <t>BENGTSFORS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5359-2023</t>
        </is>
      </c>
      <c r="B13388" s="1" t="n">
        <v>44959</v>
      </c>
      <c r="C13388" s="1" t="n">
        <v>46011</v>
      </c>
      <c r="D13388" t="inlineStr">
        <is>
          <t>VÄSTRA GÖTALANDS LÄN</t>
        </is>
      </c>
      <c r="E13388" t="inlineStr">
        <is>
          <t>LERUM</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54991-2024</t>
        </is>
      </c>
      <c r="B13389" s="1" t="n">
        <v>45620.85204861111</v>
      </c>
      <c r="C13389" s="1" t="n">
        <v>46011</v>
      </c>
      <c r="D13389" t="inlineStr">
        <is>
          <t>VÄSTRA GÖTALANDS LÄN</t>
        </is>
      </c>
      <c r="E13389" t="inlineStr">
        <is>
          <t>VÅRGÅRDA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55007-2024</t>
        </is>
      </c>
      <c r="B13390" s="1" t="n">
        <v>45621.33743055556</v>
      </c>
      <c r="C13390" s="1" t="n">
        <v>46011</v>
      </c>
      <c r="D13390" t="inlineStr">
        <is>
          <t>VÄSTRA GÖTALANDS LÄN</t>
        </is>
      </c>
      <c r="E13390" t="inlineStr">
        <is>
          <t>ULRICEHAMN</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52596-2024</t>
        </is>
      </c>
      <c r="B13391" s="1" t="n">
        <v>45609.71940972222</v>
      </c>
      <c r="C13391" s="1" t="n">
        <v>46011</v>
      </c>
      <c r="D13391" t="inlineStr">
        <is>
          <t>VÄSTRA GÖTALANDS LÄN</t>
        </is>
      </c>
      <c r="E13391" t="inlineStr">
        <is>
          <t>TRANEMO</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39538-2023</t>
        </is>
      </c>
      <c r="B13392" s="1" t="n">
        <v>45167</v>
      </c>
      <c r="C13392" s="1" t="n">
        <v>46011</v>
      </c>
      <c r="D13392" t="inlineStr">
        <is>
          <t>VÄSTRA GÖTALANDS LÄN</t>
        </is>
      </c>
      <c r="E13392" t="inlineStr">
        <is>
          <t>HJO</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55252-2024</t>
        </is>
      </c>
      <c r="B13393" s="1" t="n">
        <v>45621.59697916666</v>
      </c>
      <c r="C13393" s="1" t="n">
        <v>46011</v>
      </c>
      <c r="D13393" t="inlineStr">
        <is>
          <t>VÄSTRA GÖTALANDS LÄN</t>
        </is>
      </c>
      <c r="E13393" t="inlineStr">
        <is>
          <t>TANUM</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54097-2024</t>
        </is>
      </c>
      <c r="B13394" s="1" t="n">
        <v>45616.51472222222</v>
      </c>
      <c r="C13394" s="1" t="n">
        <v>46011</v>
      </c>
      <c r="D13394" t="inlineStr">
        <is>
          <t>VÄSTRA GÖTALANDS LÄN</t>
        </is>
      </c>
      <c r="E13394" t="inlineStr">
        <is>
          <t>VÅRGÅRDA</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39085-2023</t>
        </is>
      </c>
      <c r="B13395" s="1" t="n">
        <v>45164.34875</v>
      </c>
      <c r="C13395" s="1" t="n">
        <v>46011</v>
      </c>
      <c r="D13395" t="inlineStr">
        <is>
          <t>VÄSTRA GÖTALANDS LÄN</t>
        </is>
      </c>
      <c r="E13395" t="inlineStr">
        <is>
          <t>LYSEKIL</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3352-2025</t>
        </is>
      </c>
      <c r="B13396" s="1" t="n">
        <v>45679.87385416667</v>
      </c>
      <c r="C13396" s="1" t="n">
        <v>46011</v>
      </c>
      <c r="D13396" t="inlineStr">
        <is>
          <t>VÄSTRA GÖTALANDS LÄN</t>
        </is>
      </c>
      <c r="E13396" t="inlineStr">
        <is>
          <t>ALINGSÅS</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35486-2023</t>
        </is>
      </c>
      <c r="B13397" s="1" t="n">
        <v>45146</v>
      </c>
      <c r="C13397" s="1" t="n">
        <v>46011</v>
      </c>
      <c r="D13397" t="inlineStr">
        <is>
          <t>VÄSTRA GÖTALANDS LÄN</t>
        </is>
      </c>
      <c r="E13397" t="inlineStr">
        <is>
          <t>HJO</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28393-2022</t>
        </is>
      </c>
      <c r="B13398" s="1" t="n">
        <v>44747</v>
      </c>
      <c r="C13398" s="1" t="n">
        <v>46011</v>
      </c>
      <c r="D13398" t="inlineStr">
        <is>
          <t>VÄSTRA GÖTALANDS LÄN</t>
        </is>
      </c>
      <c r="E13398" t="inlineStr">
        <is>
          <t>MUNKEDAL</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28473-2022</t>
        </is>
      </c>
      <c r="B13399" s="1" t="n">
        <v>44747.82956018519</v>
      </c>
      <c r="C13399" s="1" t="n">
        <v>46011</v>
      </c>
      <c r="D13399" t="inlineStr">
        <is>
          <t>VÄSTRA GÖTALANDS LÄN</t>
        </is>
      </c>
      <c r="E13399" t="inlineStr">
        <is>
          <t>FALKÖPING</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20974-2023</t>
        </is>
      </c>
      <c r="B13400" s="1" t="n">
        <v>45061</v>
      </c>
      <c r="C13400" s="1" t="n">
        <v>46011</v>
      </c>
      <c r="D13400" t="inlineStr">
        <is>
          <t>VÄSTRA GÖTALANDS LÄN</t>
        </is>
      </c>
      <c r="E13400" t="inlineStr">
        <is>
          <t>TANUM</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20983-2023</t>
        </is>
      </c>
      <c r="B13401" s="1" t="n">
        <v>45061</v>
      </c>
      <c r="C13401" s="1" t="n">
        <v>46011</v>
      </c>
      <c r="D13401" t="inlineStr">
        <is>
          <t>VÄSTRA GÖTALANDS LÄN</t>
        </is>
      </c>
      <c r="E13401" t="inlineStr">
        <is>
          <t>TANUM</t>
        </is>
      </c>
      <c r="G13401" t="n">
        <v>6.1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32670-2023</t>
        </is>
      </c>
      <c r="B13402" s="1" t="n">
        <v>45121</v>
      </c>
      <c r="C13402" s="1" t="n">
        <v>46011</v>
      </c>
      <c r="D13402" t="inlineStr">
        <is>
          <t>VÄSTRA GÖTALANDS LÄN</t>
        </is>
      </c>
      <c r="E13402" t="inlineStr">
        <is>
          <t>TIDAHOLM</t>
        </is>
      </c>
      <c r="F13402" t="inlineStr">
        <is>
          <t>Kommuner</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60498-2024</t>
        </is>
      </c>
      <c r="B13403" s="1" t="n">
        <v>45643.66039351852</v>
      </c>
      <c r="C13403" s="1" t="n">
        <v>46011</v>
      </c>
      <c r="D13403" t="inlineStr">
        <is>
          <t>VÄSTRA GÖTALANDS LÄN</t>
        </is>
      </c>
      <c r="E13403" t="inlineStr">
        <is>
          <t>TROLLHÄTTAN</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44396-2024</t>
        </is>
      </c>
      <c r="B13404" s="1" t="n">
        <v>45573</v>
      </c>
      <c r="C13404" s="1" t="n">
        <v>46011</v>
      </c>
      <c r="D13404" t="inlineStr">
        <is>
          <t>VÄSTRA GÖTALANDS LÄN</t>
        </is>
      </c>
      <c r="E13404" t="inlineStr">
        <is>
          <t>GULLSPÅNG</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36693-2023</t>
        </is>
      </c>
      <c r="B13405" s="1" t="n">
        <v>45153.62331018518</v>
      </c>
      <c r="C13405" s="1" t="n">
        <v>46011</v>
      </c>
      <c r="D13405" t="inlineStr">
        <is>
          <t>VÄSTRA GÖTALANDS LÄN</t>
        </is>
      </c>
      <c r="E13405" t="inlineStr">
        <is>
          <t>ULRICEHAMN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47973-2023</t>
        </is>
      </c>
      <c r="B13406" s="1" t="n">
        <v>45204.60971064815</v>
      </c>
      <c r="C13406" s="1" t="n">
        <v>46011</v>
      </c>
      <c r="D13406" t="inlineStr">
        <is>
          <t>VÄSTRA GÖTALANDS LÄN</t>
        </is>
      </c>
      <c r="E13406" t="inlineStr">
        <is>
          <t>MARK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15309-2022</t>
        </is>
      </c>
      <c r="B13407" s="1" t="n">
        <v>44659</v>
      </c>
      <c r="C13407" s="1" t="n">
        <v>46011</v>
      </c>
      <c r="D13407" t="inlineStr">
        <is>
          <t>VÄSTRA GÖTALANDS LÄN</t>
        </is>
      </c>
      <c r="E13407" t="inlineStr">
        <is>
          <t>VÄNERSBORG</t>
        </is>
      </c>
      <c r="G13407" t="n">
        <v>0.2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36772-2023</t>
        </is>
      </c>
      <c r="B13408" s="1" t="n">
        <v>45154.26027777778</v>
      </c>
      <c r="C13408" s="1" t="n">
        <v>46011</v>
      </c>
      <c r="D13408" t="inlineStr">
        <is>
          <t>VÄSTRA GÖTALANDS LÄN</t>
        </is>
      </c>
      <c r="E13408" t="inlineStr">
        <is>
          <t>MARK</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11439-2022</t>
        </is>
      </c>
      <c r="B13409" s="1" t="n">
        <v>44630.62471064815</v>
      </c>
      <c r="C13409" s="1" t="n">
        <v>46011</v>
      </c>
      <c r="D13409" t="inlineStr">
        <is>
          <t>VÄSTRA GÖTALANDS LÄN</t>
        </is>
      </c>
      <c r="E13409" t="inlineStr">
        <is>
          <t>VÄNERSBORG</t>
        </is>
      </c>
      <c r="G13409" t="n">
        <v>10.6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20391-2023</t>
        </is>
      </c>
      <c r="B13410" s="1" t="n">
        <v>45056.59340277778</v>
      </c>
      <c r="C13410" s="1" t="n">
        <v>46011</v>
      </c>
      <c r="D13410" t="inlineStr">
        <is>
          <t>VÄSTRA GÖTALANDS LÄN</t>
        </is>
      </c>
      <c r="E13410" t="inlineStr">
        <is>
          <t>TÖREBODA</t>
        </is>
      </c>
      <c r="G13410" t="n">
        <v>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7392-2022</t>
        </is>
      </c>
      <c r="B13411" s="1" t="n">
        <v>44606.63405092592</v>
      </c>
      <c r="C13411" s="1" t="n">
        <v>46011</v>
      </c>
      <c r="D13411" t="inlineStr">
        <is>
          <t>VÄSTRA GÖTALANDS LÄN</t>
        </is>
      </c>
      <c r="E13411" t="inlineStr">
        <is>
          <t>HJO</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17116-2023</t>
        </is>
      </c>
      <c r="B13412" s="1" t="n">
        <v>45034.58351851852</v>
      </c>
      <c r="C13412" s="1" t="n">
        <v>46011</v>
      </c>
      <c r="D13412" t="inlineStr">
        <is>
          <t>VÄSTRA GÖTALANDS LÄN</t>
        </is>
      </c>
      <c r="E13412" t="inlineStr">
        <is>
          <t>LILLA EDET</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25758-2022</t>
        </is>
      </c>
      <c r="B13413" s="1" t="n">
        <v>44733.444375</v>
      </c>
      <c r="C13413" s="1" t="n">
        <v>46011</v>
      </c>
      <c r="D13413" t="inlineStr">
        <is>
          <t>VÄSTRA GÖTALANDS LÄN</t>
        </is>
      </c>
      <c r="E13413" t="inlineStr">
        <is>
          <t>HERRLJUNGA</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990-2021</t>
        </is>
      </c>
      <c r="B13414" s="1" t="n">
        <v>44206</v>
      </c>
      <c r="C13414" s="1" t="n">
        <v>46011</v>
      </c>
      <c r="D13414" t="inlineStr">
        <is>
          <t>VÄSTRA GÖTALANDS LÄN</t>
        </is>
      </c>
      <c r="E13414" t="inlineStr">
        <is>
          <t>ULRICEHAMN</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992-2021</t>
        </is>
      </c>
      <c r="B13415" s="1" t="n">
        <v>44206</v>
      </c>
      <c r="C13415" s="1" t="n">
        <v>46011</v>
      </c>
      <c r="D13415" t="inlineStr">
        <is>
          <t>VÄSTRA GÖTALANDS LÄN</t>
        </is>
      </c>
      <c r="E13415" t="inlineStr">
        <is>
          <t>ULRICEHAMN</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3987-2023</t>
        </is>
      </c>
      <c r="B13416" s="1" t="n">
        <v>44950</v>
      </c>
      <c r="C13416" s="1" t="n">
        <v>46011</v>
      </c>
      <c r="D13416" t="inlineStr">
        <is>
          <t>VÄSTRA GÖTALANDS LÄN</t>
        </is>
      </c>
      <c r="E13416" t="inlineStr">
        <is>
          <t>MARK</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4065-2023</t>
        </is>
      </c>
      <c r="B13417" s="1" t="n">
        <v>44952</v>
      </c>
      <c r="C13417" s="1" t="n">
        <v>46011</v>
      </c>
      <c r="D13417" t="inlineStr">
        <is>
          <t>VÄSTRA GÖTALANDS LÄN</t>
        </is>
      </c>
      <c r="E13417" t="inlineStr">
        <is>
          <t>VÅRGÅRDA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44431-2023</t>
        </is>
      </c>
      <c r="B13418" s="1" t="n">
        <v>45189.35152777778</v>
      </c>
      <c r="C13418" s="1" t="n">
        <v>46011</v>
      </c>
      <c r="D13418" t="inlineStr">
        <is>
          <t>VÄSTRA GÖTALANDS LÄN</t>
        </is>
      </c>
      <c r="E13418" t="inlineStr">
        <is>
          <t>VÅRGÅRDA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44456-2023</t>
        </is>
      </c>
      <c r="B13419" s="1" t="n">
        <v>45183</v>
      </c>
      <c r="C13419" s="1" t="n">
        <v>46011</v>
      </c>
      <c r="D13419" t="inlineStr">
        <is>
          <t>VÄSTRA GÖTALANDS LÄN</t>
        </is>
      </c>
      <c r="E13419" t="inlineStr">
        <is>
          <t>TIDAHOLM</t>
        </is>
      </c>
      <c r="F13419" t="inlineStr">
        <is>
          <t>Allmännings- och besparingsskogar</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7225-2023</t>
        </is>
      </c>
      <c r="B13420" s="1" t="n">
        <v>44970.59268518518</v>
      </c>
      <c r="C13420" s="1" t="n">
        <v>46011</v>
      </c>
      <c r="D13420" t="inlineStr">
        <is>
          <t>VÄSTRA GÖTALANDS LÄN</t>
        </is>
      </c>
      <c r="E13420" t="inlineStr">
        <is>
          <t>GÖTENE</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52016-2021</t>
        </is>
      </c>
      <c r="B13421" s="1" t="n">
        <v>44463</v>
      </c>
      <c r="C13421" s="1" t="n">
        <v>46011</v>
      </c>
      <c r="D13421" t="inlineStr">
        <is>
          <t>VÄSTRA GÖTALANDS LÄN</t>
        </is>
      </c>
      <c r="E13421" t="inlineStr">
        <is>
          <t>VÅRGÅRDA</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37905-2023</t>
        </is>
      </c>
      <c r="B13422" s="1" t="n">
        <v>45160.47452546296</v>
      </c>
      <c r="C13422" s="1" t="n">
        <v>46011</v>
      </c>
      <c r="D13422" t="inlineStr">
        <is>
          <t>VÄSTRA GÖTALANDS LÄN</t>
        </is>
      </c>
      <c r="E13422" t="inlineStr">
        <is>
          <t>SVENLJUNGA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4757-2025</t>
        </is>
      </c>
      <c r="B13423" s="1" t="n">
        <v>45688.47015046296</v>
      </c>
      <c r="C13423" s="1" t="n">
        <v>46011</v>
      </c>
      <c r="D13423" t="inlineStr">
        <is>
          <t>VÄSTRA GÖTALANDS LÄN</t>
        </is>
      </c>
      <c r="E13423" t="inlineStr">
        <is>
          <t>BORÅS</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26550-2024</t>
        </is>
      </c>
      <c r="B13424" s="1" t="n">
        <v>45469</v>
      </c>
      <c r="C13424" s="1" t="n">
        <v>46011</v>
      </c>
      <c r="D13424" t="inlineStr">
        <is>
          <t>VÄSTRA GÖTALANDS LÄN</t>
        </is>
      </c>
      <c r="E13424" t="inlineStr">
        <is>
          <t>TIDAHOLM</t>
        </is>
      </c>
      <c r="F13424" t="inlineStr">
        <is>
          <t>Sveaskog</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22144-2022</t>
        </is>
      </c>
      <c r="B13425" s="1" t="n">
        <v>44712.40928240741</v>
      </c>
      <c r="C13425" s="1" t="n">
        <v>46011</v>
      </c>
      <c r="D13425" t="inlineStr">
        <is>
          <t>VÄSTRA GÖTALANDS LÄN</t>
        </is>
      </c>
      <c r="E13425" t="inlineStr">
        <is>
          <t>MARK</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26570-2024</t>
        </is>
      </c>
      <c r="B13426" s="1" t="n">
        <v>45469</v>
      </c>
      <c r="C13426" s="1" t="n">
        <v>46011</v>
      </c>
      <c r="D13426" t="inlineStr">
        <is>
          <t>VÄSTRA GÖTALANDS LÄN</t>
        </is>
      </c>
      <c r="E13426" t="inlineStr">
        <is>
          <t>SKARA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38594-2023</t>
        </is>
      </c>
      <c r="B13427" s="1" t="n">
        <v>45162</v>
      </c>
      <c r="C13427" s="1" t="n">
        <v>46011</v>
      </c>
      <c r="D13427" t="inlineStr">
        <is>
          <t>VÄSTRA GÖTALANDS LÄN</t>
        </is>
      </c>
      <c r="E13427" t="inlineStr">
        <is>
          <t>ULRICEHAMN</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52715-2023</t>
        </is>
      </c>
      <c r="B13428" s="1" t="n">
        <v>45225.86006944445</v>
      </c>
      <c r="C13428" s="1" t="n">
        <v>46011</v>
      </c>
      <c r="D13428" t="inlineStr">
        <is>
          <t>VÄSTRA GÖTALANDS LÄN</t>
        </is>
      </c>
      <c r="E13428" t="inlineStr">
        <is>
          <t>TIDAHOLM</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3251-2025</t>
        </is>
      </c>
      <c r="B13429" s="1" t="n">
        <v>45679.5387962963</v>
      </c>
      <c r="C13429" s="1" t="n">
        <v>46011</v>
      </c>
      <c r="D13429" t="inlineStr">
        <is>
          <t>VÄSTRA GÖTALANDS LÄN</t>
        </is>
      </c>
      <c r="E13429" t="inlineStr">
        <is>
          <t>LIDKÖPING</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3272-2025</t>
        </is>
      </c>
      <c r="B13430" s="1" t="n">
        <v>45679</v>
      </c>
      <c r="C13430" s="1" t="n">
        <v>46011</v>
      </c>
      <c r="D13430" t="inlineStr">
        <is>
          <t>VÄSTRA GÖTALANDS LÄN</t>
        </is>
      </c>
      <c r="E13430" t="inlineStr">
        <is>
          <t>TROLLHÄTTAN</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64722-2023</t>
        </is>
      </c>
      <c r="B13431" s="1" t="n">
        <v>45281</v>
      </c>
      <c r="C13431" s="1" t="n">
        <v>46011</v>
      </c>
      <c r="D13431" t="inlineStr">
        <is>
          <t>VÄSTRA GÖTALANDS LÄN</t>
        </is>
      </c>
      <c r="E13431" t="inlineStr">
        <is>
          <t>GULLSPÅNG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61452-2023</t>
        </is>
      </c>
      <c r="B13432" s="1" t="n">
        <v>45264.83583333333</v>
      </c>
      <c r="C13432" s="1" t="n">
        <v>46011</v>
      </c>
      <c r="D13432" t="inlineStr">
        <is>
          <t>VÄSTRA GÖTALANDS LÄN</t>
        </is>
      </c>
      <c r="E13432" t="inlineStr">
        <is>
          <t>BORÅS</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30819-2022</t>
        </is>
      </c>
      <c r="B13433" s="1" t="n">
        <v>44766.54820601852</v>
      </c>
      <c r="C13433" s="1" t="n">
        <v>46011</v>
      </c>
      <c r="D13433" t="inlineStr">
        <is>
          <t>VÄSTRA GÖTALANDS LÄN</t>
        </is>
      </c>
      <c r="E13433" t="inlineStr">
        <is>
          <t>TIDAHOLM</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27086-2022</t>
        </is>
      </c>
      <c r="B13434" s="1" t="n">
        <v>44741.4200462963</v>
      </c>
      <c r="C13434" s="1" t="n">
        <v>46011</v>
      </c>
      <c r="D13434" t="inlineStr">
        <is>
          <t>VÄSTRA GÖTALANDS LÄN</t>
        </is>
      </c>
      <c r="E13434" t="inlineStr">
        <is>
          <t>TÖREBODA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56904-2023</t>
        </is>
      </c>
      <c r="B13435" s="1" t="n">
        <v>45244</v>
      </c>
      <c r="C13435" s="1" t="n">
        <v>46011</v>
      </c>
      <c r="D13435" t="inlineStr">
        <is>
          <t>VÄSTRA GÖTALANDS LÄN</t>
        </is>
      </c>
      <c r="E13435" t="inlineStr">
        <is>
          <t>MARK</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26230-2023</t>
        </is>
      </c>
      <c r="B13436" s="1" t="n">
        <v>45091</v>
      </c>
      <c r="C13436" s="1" t="n">
        <v>46011</v>
      </c>
      <c r="D13436" t="inlineStr">
        <is>
          <t>VÄSTRA GÖTALANDS LÄN</t>
        </is>
      </c>
      <c r="E13436" t="inlineStr">
        <is>
          <t>HJO</t>
        </is>
      </c>
      <c r="F13436" t="inlineStr">
        <is>
          <t>Övriga Aktiebolag</t>
        </is>
      </c>
      <c r="G13436" t="n">
        <v>9.4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26268-2023</t>
        </is>
      </c>
      <c r="B13437" s="1" t="n">
        <v>45091.61202546296</v>
      </c>
      <c r="C13437" s="1" t="n">
        <v>46011</v>
      </c>
      <c r="D13437" t="inlineStr">
        <is>
          <t>VÄSTRA GÖTALANDS LÄN</t>
        </is>
      </c>
      <c r="E13437" t="inlineStr">
        <is>
          <t>SKARA</t>
        </is>
      </c>
      <c r="G13437" t="n">
        <v>21.6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35919-2023</t>
        </is>
      </c>
      <c r="B13438" s="1" t="n">
        <v>45148.64981481482</v>
      </c>
      <c r="C13438" s="1" t="n">
        <v>46011</v>
      </c>
      <c r="D13438" t="inlineStr">
        <is>
          <t>VÄSTRA GÖTALANDS LÄN</t>
        </is>
      </c>
      <c r="E13438" t="inlineStr">
        <is>
          <t>SKÖVDE</t>
        </is>
      </c>
      <c r="G13438" t="n">
        <v>6.6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26538-2024</t>
        </is>
      </c>
      <c r="B13439" s="1" t="n">
        <v>45469</v>
      </c>
      <c r="C13439" s="1" t="n">
        <v>46011</v>
      </c>
      <c r="D13439" t="inlineStr">
        <is>
          <t>VÄSTRA GÖTALANDS LÄN</t>
        </is>
      </c>
      <c r="E13439" t="inlineStr">
        <is>
          <t>TIDAHOLM</t>
        </is>
      </c>
      <c r="F13439" t="inlineStr">
        <is>
          <t>Sveaskog</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36305-2024</t>
        </is>
      </c>
      <c r="B13440" s="1" t="n">
        <v>45534.61297453703</v>
      </c>
      <c r="C13440" s="1" t="n">
        <v>46011</v>
      </c>
      <c r="D13440" t="inlineStr">
        <is>
          <t>VÄSTRA GÖTALANDS LÄN</t>
        </is>
      </c>
      <c r="E13440" t="inlineStr">
        <is>
          <t>MARK</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13106-2023</t>
        </is>
      </c>
      <c r="B13441" s="1" t="n">
        <v>45002.45552083333</v>
      </c>
      <c r="C13441" s="1" t="n">
        <v>46011</v>
      </c>
      <c r="D13441" t="inlineStr">
        <is>
          <t>VÄSTRA GÖTALANDS LÄN</t>
        </is>
      </c>
      <c r="E13441" t="inlineStr">
        <is>
          <t>ULRICEHAMN</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29959-2024</t>
        </is>
      </c>
      <c r="B13442" s="1" t="n">
        <v>45488.45628472222</v>
      </c>
      <c r="C13442" s="1" t="n">
        <v>46011</v>
      </c>
      <c r="D13442" t="inlineStr">
        <is>
          <t>VÄSTRA GÖTALANDS LÄN</t>
        </is>
      </c>
      <c r="E13442" t="inlineStr">
        <is>
          <t>MUNKEDAL</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17538-2023</t>
        </is>
      </c>
      <c r="B13443" s="1" t="n">
        <v>45036</v>
      </c>
      <c r="C13443" s="1" t="n">
        <v>46011</v>
      </c>
      <c r="D13443" t="inlineStr">
        <is>
          <t>VÄSTRA GÖTALANDS LÄN</t>
        </is>
      </c>
      <c r="E13443" t="inlineStr">
        <is>
          <t>MELLERUD</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28310-2022</t>
        </is>
      </c>
      <c r="B13444" s="1" t="n">
        <v>44747.358125</v>
      </c>
      <c r="C13444" s="1" t="n">
        <v>46011</v>
      </c>
      <c r="D13444" t="inlineStr">
        <is>
          <t>VÄSTRA GÖTALANDS LÄN</t>
        </is>
      </c>
      <c r="E13444" t="inlineStr">
        <is>
          <t>FALKÖPING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29811-2024</t>
        </is>
      </c>
      <c r="B13445" s="1" t="n">
        <v>45485.53962962963</v>
      </c>
      <c r="C13445" s="1" t="n">
        <v>46011</v>
      </c>
      <c r="D13445" t="inlineStr">
        <is>
          <t>VÄSTRA GÖTALANDS LÄN</t>
        </is>
      </c>
      <c r="E13445" t="inlineStr">
        <is>
          <t>SVENLJUNGA</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29813-2024</t>
        </is>
      </c>
      <c r="B13446" s="1" t="n">
        <v>45485.54233796296</v>
      </c>
      <c r="C13446" s="1" t="n">
        <v>46011</v>
      </c>
      <c r="D13446" t="inlineStr">
        <is>
          <t>VÄSTRA GÖTALANDS LÄN</t>
        </is>
      </c>
      <c r="E13446" t="inlineStr">
        <is>
          <t>SVENLJUNGA</t>
        </is>
      </c>
      <c r="G13446" t="n">
        <v>7.3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17048-2024</t>
        </is>
      </c>
      <c r="B13447" s="1" t="n">
        <v>45412.43246527778</v>
      </c>
      <c r="C13447" s="1" t="n">
        <v>46011</v>
      </c>
      <c r="D13447" t="inlineStr">
        <is>
          <t>VÄSTRA GÖTALANDS LÄN</t>
        </is>
      </c>
      <c r="E13447" t="inlineStr">
        <is>
          <t>ALINGSÅS</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11219-2024</t>
        </is>
      </c>
      <c r="B13448" s="1" t="n">
        <v>45371.58719907407</v>
      </c>
      <c r="C13448" s="1" t="n">
        <v>46011</v>
      </c>
      <c r="D13448" t="inlineStr">
        <is>
          <t>VÄSTRA GÖTALANDS LÄN</t>
        </is>
      </c>
      <c r="E13448" t="inlineStr">
        <is>
          <t>MELLERUD</t>
        </is>
      </c>
      <c r="G13448" t="n">
        <v>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52381-2023</t>
        </is>
      </c>
      <c r="B13449" s="1" t="n">
        <v>45224.80859953703</v>
      </c>
      <c r="C13449" s="1" t="n">
        <v>46011</v>
      </c>
      <c r="D13449" t="inlineStr">
        <is>
          <t>VÄSTRA GÖTALANDS LÄN</t>
        </is>
      </c>
      <c r="E13449" t="inlineStr">
        <is>
          <t>SKARA</t>
        </is>
      </c>
      <c r="G13449" t="n">
        <v>0.2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3708-2024</t>
        </is>
      </c>
      <c r="B13450" s="1" t="n">
        <v>45321.45766203704</v>
      </c>
      <c r="C13450" s="1" t="n">
        <v>46011</v>
      </c>
      <c r="D13450" t="inlineStr">
        <is>
          <t>VÄSTRA GÖTALANDS LÄN</t>
        </is>
      </c>
      <c r="E13450" t="inlineStr">
        <is>
          <t>MUNKEDAL</t>
        </is>
      </c>
      <c r="G13450" t="n">
        <v>20.2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12024-2024</t>
        </is>
      </c>
      <c r="B13451" s="1" t="n">
        <v>45377</v>
      </c>
      <c r="C13451" s="1" t="n">
        <v>46011</v>
      </c>
      <c r="D13451" t="inlineStr">
        <is>
          <t>VÄSTRA GÖTALANDS LÄN</t>
        </is>
      </c>
      <c r="E13451" t="inlineStr">
        <is>
          <t>VARA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6997-2025</t>
        </is>
      </c>
      <c r="B13452" s="1" t="n">
        <v>45701.59048611111</v>
      </c>
      <c r="C13452" s="1" t="n">
        <v>46011</v>
      </c>
      <c r="D13452" t="inlineStr">
        <is>
          <t>VÄSTRA GÖTALANDS LÄN</t>
        </is>
      </c>
      <c r="E13452" t="inlineStr">
        <is>
          <t>TRANEMO</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15521-2025</t>
        </is>
      </c>
      <c r="B13453" s="1" t="n">
        <v>45747</v>
      </c>
      <c r="C13453" s="1" t="n">
        <v>46011</v>
      </c>
      <c r="D13453" t="inlineStr">
        <is>
          <t>VÄSTRA GÖTALANDS LÄN</t>
        </is>
      </c>
      <c r="E13453" t="inlineStr">
        <is>
          <t>SVENLJUNGA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15522-2025</t>
        </is>
      </c>
      <c r="B13454" s="1" t="n">
        <v>45747</v>
      </c>
      <c r="C13454" s="1" t="n">
        <v>46011</v>
      </c>
      <c r="D13454" t="inlineStr">
        <is>
          <t>VÄSTRA GÖTALANDS LÄN</t>
        </is>
      </c>
      <c r="E13454" t="inlineStr">
        <is>
          <t>SVENLJUNGA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71890-2021</t>
        </is>
      </c>
      <c r="B13455" s="1" t="n">
        <v>44543.78116898148</v>
      </c>
      <c r="C13455" s="1" t="n">
        <v>46011</v>
      </c>
      <c r="D13455" t="inlineStr">
        <is>
          <t>VÄSTRA GÖTALANDS LÄN</t>
        </is>
      </c>
      <c r="E13455" t="inlineStr">
        <is>
          <t>ORUST</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34433-2023</t>
        </is>
      </c>
      <c r="B13456" s="1" t="n">
        <v>45139</v>
      </c>
      <c r="C13456" s="1" t="n">
        <v>46011</v>
      </c>
      <c r="D13456" t="inlineStr">
        <is>
          <t>VÄSTRA GÖTALANDS LÄN</t>
        </is>
      </c>
      <c r="E13456" t="inlineStr">
        <is>
          <t>FÄRGELANDA</t>
        </is>
      </c>
      <c r="G13456" t="n">
        <v>9.6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15849-2024</t>
        </is>
      </c>
      <c r="B13457" s="1" t="n">
        <v>45404</v>
      </c>
      <c r="C13457" s="1" t="n">
        <v>46011</v>
      </c>
      <c r="D13457" t="inlineStr">
        <is>
          <t>VÄSTRA GÖTALANDS LÄN</t>
        </is>
      </c>
      <c r="E13457" t="inlineStr">
        <is>
          <t>DALS-ED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15852-2024</t>
        </is>
      </c>
      <c r="B13458" s="1" t="n">
        <v>45404.89270833333</v>
      </c>
      <c r="C13458" s="1" t="n">
        <v>46011</v>
      </c>
      <c r="D13458" t="inlineStr">
        <is>
          <t>VÄSTRA GÖTALANDS LÄN</t>
        </is>
      </c>
      <c r="E13458" t="inlineStr">
        <is>
          <t>TIDAHOLM</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34188-2023</t>
        </is>
      </c>
      <c r="B13459" s="1" t="n">
        <v>45138.39662037037</v>
      </c>
      <c r="C13459" s="1" t="n">
        <v>46011</v>
      </c>
      <c r="D13459" t="inlineStr">
        <is>
          <t>VÄSTRA GÖTALANDS LÄN</t>
        </is>
      </c>
      <c r="E13459" t="inlineStr">
        <is>
          <t>HERRLJUNGA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32446-2023</t>
        </is>
      </c>
      <c r="B13460" s="1" t="n">
        <v>45120</v>
      </c>
      <c r="C13460" s="1" t="n">
        <v>46011</v>
      </c>
      <c r="D13460" t="inlineStr">
        <is>
          <t>VÄSTRA GÖTALANDS LÄN</t>
        </is>
      </c>
      <c r="E13460" t="inlineStr">
        <is>
          <t>BORÅS</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30760-2023</t>
        </is>
      </c>
      <c r="B13461" s="1" t="n">
        <v>45112</v>
      </c>
      <c r="C13461" s="1" t="n">
        <v>46011</v>
      </c>
      <c r="D13461" t="inlineStr">
        <is>
          <t>VÄSTRA GÖTALANDS LÄN</t>
        </is>
      </c>
      <c r="E13461" t="inlineStr">
        <is>
          <t>BOLLEBYGD</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30762-2023</t>
        </is>
      </c>
      <c r="B13462" s="1" t="n">
        <v>45112</v>
      </c>
      <c r="C13462" s="1" t="n">
        <v>46011</v>
      </c>
      <c r="D13462" t="inlineStr">
        <is>
          <t>VÄSTRA GÖTALANDS LÄN</t>
        </is>
      </c>
      <c r="E13462" t="inlineStr">
        <is>
          <t>BOLLEBYGD</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44871-2024</t>
        </is>
      </c>
      <c r="B13463" s="1" t="n">
        <v>45575.33427083334</v>
      </c>
      <c r="C13463" s="1" t="n">
        <v>46011</v>
      </c>
      <c r="D13463" t="inlineStr">
        <is>
          <t>VÄSTRA GÖTALANDS LÄN</t>
        </is>
      </c>
      <c r="E13463" t="inlineStr">
        <is>
          <t>TRANEMO</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34423-2021</t>
        </is>
      </c>
      <c r="B13464" s="1" t="n">
        <v>44380</v>
      </c>
      <c r="C13464" s="1" t="n">
        <v>46011</v>
      </c>
      <c r="D13464" t="inlineStr">
        <is>
          <t>VÄSTRA GÖTALANDS LÄN</t>
        </is>
      </c>
      <c r="E13464" t="inlineStr">
        <is>
          <t>HERRLJUNGA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47350-2024</t>
        </is>
      </c>
      <c r="B13465" s="1" t="n">
        <v>45587.41349537037</v>
      </c>
      <c r="C13465" s="1" t="n">
        <v>46011</v>
      </c>
      <c r="D13465" t="inlineStr">
        <is>
          <t>VÄSTRA GÖTALANDS LÄN</t>
        </is>
      </c>
      <c r="E13465" t="inlineStr">
        <is>
          <t>HÄRRYDA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12889-2023</t>
        </is>
      </c>
      <c r="B13466" s="1" t="n">
        <v>45001</v>
      </c>
      <c r="C13466" s="1" t="n">
        <v>46011</v>
      </c>
      <c r="D13466" t="inlineStr">
        <is>
          <t>VÄSTRA GÖTALANDS LÄN</t>
        </is>
      </c>
      <c r="E13466" t="inlineStr">
        <is>
          <t>GULLSPÅNG</t>
        </is>
      </c>
      <c r="G13466" t="n">
        <v>8.800000000000001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52299-2024</t>
        </is>
      </c>
      <c r="B13467" s="1" t="n">
        <v>45608.73741898148</v>
      </c>
      <c r="C13467" s="1" t="n">
        <v>46011</v>
      </c>
      <c r="D13467" t="inlineStr">
        <is>
          <t>VÄSTRA GÖTALANDS LÄN</t>
        </is>
      </c>
      <c r="E13467" t="inlineStr">
        <is>
          <t>ALINGSÅS</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3312-2024</t>
        </is>
      </c>
      <c r="B13468" s="1" t="n">
        <v>45317.4774537037</v>
      </c>
      <c r="C13468" s="1" t="n">
        <v>46011</v>
      </c>
      <c r="D13468" t="inlineStr">
        <is>
          <t>VÄSTRA GÖTALANDS LÄN</t>
        </is>
      </c>
      <c r="E13468" t="inlineStr">
        <is>
          <t>MUNKEDAL</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52349-2024</t>
        </is>
      </c>
      <c r="B13469" s="1" t="n">
        <v>45609.34872685185</v>
      </c>
      <c r="C13469" s="1" t="n">
        <v>46011</v>
      </c>
      <c r="D13469" t="inlineStr">
        <is>
          <t>VÄSTRA GÖTALANDS LÄN</t>
        </is>
      </c>
      <c r="E13469" t="inlineStr">
        <is>
          <t>DALS-ED</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60117-2021</t>
        </is>
      </c>
      <c r="B13470" s="1" t="n">
        <v>44495</v>
      </c>
      <c r="C13470" s="1" t="n">
        <v>46011</v>
      </c>
      <c r="D13470" t="inlineStr">
        <is>
          <t>VÄSTRA GÖTALANDS LÄN</t>
        </is>
      </c>
      <c r="E13470" t="inlineStr">
        <is>
          <t>SKÖVDE</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29564-2024</t>
        </is>
      </c>
      <c r="B13471" s="1" t="n">
        <v>45484.5425462963</v>
      </c>
      <c r="C13471" s="1" t="n">
        <v>46011</v>
      </c>
      <c r="D13471" t="inlineStr">
        <is>
          <t>VÄSTRA GÖTALANDS LÄN</t>
        </is>
      </c>
      <c r="E13471" t="inlineStr">
        <is>
          <t>TRANEMO</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40972-2023</t>
        </is>
      </c>
      <c r="B13472" s="1" t="n">
        <v>45173.48878472222</v>
      </c>
      <c r="C13472" s="1" t="n">
        <v>46011</v>
      </c>
      <c r="D13472" t="inlineStr">
        <is>
          <t>VÄSTRA GÖTALANDS LÄN</t>
        </is>
      </c>
      <c r="E13472" t="inlineStr">
        <is>
          <t>DALS-ED</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29598-2024</t>
        </is>
      </c>
      <c r="B13473" s="1" t="n">
        <v>45484.59119212963</v>
      </c>
      <c r="C13473" s="1" t="n">
        <v>46011</v>
      </c>
      <c r="D13473" t="inlineStr">
        <is>
          <t>VÄSTRA GÖTALANDS LÄN</t>
        </is>
      </c>
      <c r="E13473" t="inlineStr">
        <is>
          <t>ULRICEHAMN</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29612-2024</t>
        </is>
      </c>
      <c r="B13474" s="1" t="n">
        <v>45484.64434027778</v>
      </c>
      <c r="C13474" s="1" t="n">
        <v>46011</v>
      </c>
      <c r="D13474" t="inlineStr">
        <is>
          <t>VÄSTRA GÖTALANDS LÄN</t>
        </is>
      </c>
      <c r="E13474" t="inlineStr">
        <is>
          <t>MARK</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49101-2022</t>
        </is>
      </c>
      <c r="B13475" s="1" t="n">
        <v>44860.60222222222</v>
      </c>
      <c r="C13475" s="1" t="n">
        <v>46011</v>
      </c>
      <c r="D13475" t="inlineStr">
        <is>
          <t>VÄSTRA GÖTALANDS LÄN</t>
        </is>
      </c>
      <c r="E13475" t="inlineStr">
        <is>
          <t>SVENLJUNGA</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15176-2023</t>
        </is>
      </c>
      <c r="B13476" s="1" t="n">
        <v>45016.64439814815</v>
      </c>
      <c r="C13476" s="1" t="n">
        <v>46011</v>
      </c>
      <c r="D13476" t="inlineStr">
        <is>
          <t>VÄSTRA GÖTALANDS LÄN</t>
        </is>
      </c>
      <c r="E13476" t="inlineStr">
        <is>
          <t>MARK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15220-2023</t>
        </is>
      </c>
      <c r="B13477" s="1" t="n">
        <v>45019.30383101852</v>
      </c>
      <c r="C13477" s="1" t="n">
        <v>46011</v>
      </c>
      <c r="D13477" t="inlineStr">
        <is>
          <t>VÄSTRA GÖTALANDS LÄN</t>
        </is>
      </c>
      <c r="E13477" t="inlineStr">
        <is>
          <t>KARLSBORG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61833-2024</t>
        </is>
      </c>
      <c r="B13478" s="1" t="n">
        <v>45649.6287962963</v>
      </c>
      <c r="C13478" s="1" t="n">
        <v>46011</v>
      </c>
      <c r="D13478" t="inlineStr">
        <is>
          <t>VÄSTRA GÖTALANDS LÄN</t>
        </is>
      </c>
      <c r="E13478" t="inlineStr">
        <is>
          <t>BENGTSFORS</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11959-2024</t>
        </is>
      </c>
      <c r="B13479" s="1" t="n">
        <v>45376.7833912037</v>
      </c>
      <c r="C13479" s="1" t="n">
        <v>46011</v>
      </c>
      <c r="D13479" t="inlineStr">
        <is>
          <t>VÄSTRA GÖTALANDS LÄN</t>
        </is>
      </c>
      <c r="E13479" t="inlineStr">
        <is>
          <t>ULRICEHAMN</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61863-2024</t>
        </is>
      </c>
      <c r="B13480" s="1" t="n">
        <v>45650.84388888889</v>
      </c>
      <c r="C13480" s="1" t="n">
        <v>46011</v>
      </c>
      <c r="D13480" t="inlineStr">
        <is>
          <t>VÄSTRA GÖTALANDS LÄN</t>
        </is>
      </c>
      <c r="E13480" t="inlineStr">
        <is>
          <t>BORÅS</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28143-2023</t>
        </is>
      </c>
      <c r="B13481" s="1" t="n">
        <v>45099.48545138889</v>
      </c>
      <c r="C13481" s="1" t="n">
        <v>46011</v>
      </c>
      <c r="D13481" t="inlineStr">
        <is>
          <t>VÄSTRA GÖTALANDS LÄN</t>
        </is>
      </c>
      <c r="E13481" t="inlineStr">
        <is>
          <t>ÅMÅL</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24088-2024</t>
        </is>
      </c>
      <c r="B13482" s="1" t="n">
        <v>45456.58092592593</v>
      </c>
      <c r="C13482" s="1" t="n">
        <v>46011</v>
      </c>
      <c r="D13482" t="inlineStr">
        <is>
          <t>VÄSTRA GÖTALANDS LÄN</t>
        </is>
      </c>
      <c r="E13482" t="inlineStr">
        <is>
          <t>MUNKEDAL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37562-2024</t>
        </is>
      </c>
      <c r="B13483" s="1" t="n">
        <v>45541.44416666667</v>
      </c>
      <c r="C13483" s="1" t="n">
        <v>46011</v>
      </c>
      <c r="D13483" t="inlineStr">
        <is>
          <t>VÄSTRA GÖTALANDS LÄN</t>
        </is>
      </c>
      <c r="E13483" t="inlineStr">
        <is>
          <t>TROLLHÄTTAN</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24434-2023</t>
        </is>
      </c>
      <c r="B13484" s="1" t="n">
        <v>45082.51859953703</v>
      </c>
      <c r="C13484" s="1" t="n">
        <v>46011</v>
      </c>
      <c r="D13484" t="inlineStr">
        <is>
          <t>VÄSTRA GÖTALANDS LÄN</t>
        </is>
      </c>
      <c r="E13484" t="inlineStr">
        <is>
          <t>SVENLJUNGA</t>
        </is>
      </c>
      <c r="F13484" t="inlineStr">
        <is>
          <t>Kommuner</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27452-2023</t>
        </is>
      </c>
      <c r="B13485" s="1" t="n">
        <v>45097.4265162037</v>
      </c>
      <c r="C13485" s="1" t="n">
        <v>46011</v>
      </c>
      <c r="D13485" t="inlineStr">
        <is>
          <t>VÄSTRA GÖTALANDS LÄN</t>
        </is>
      </c>
      <c r="E13485" t="inlineStr">
        <is>
          <t>MARIESTAD</t>
        </is>
      </c>
      <c r="F13485" t="inlineStr">
        <is>
          <t>Sveaskog</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4105-2023</t>
        </is>
      </c>
      <c r="B13486" s="1" t="n">
        <v>44952</v>
      </c>
      <c r="C13486" s="1" t="n">
        <v>46011</v>
      </c>
      <c r="D13486" t="inlineStr">
        <is>
          <t>VÄSTRA GÖTALANDS LÄN</t>
        </is>
      </c>
      <c r="E13486" t="inlineStr">
        <is>
          <t>DALS-ED</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4108-2023</t>
        </is>
      </c>
      <c r="B13487" s="1" t="n">
        <v>44952</v>
      </c>
      <c r="C13487" s="1" t="n">
        <v>46011</v>
      </c>
      <c r="D13487" t="inlineStr">
        <is>
          <t>VÄSTRA GÖTALANDS LÄN</t>
        </is>
      </c>
      <c r="E13487" t="inlineStr">
        <is>
          <t>DALS-ED</t>
        </is>
      </c>
      <c r="G13487" t="n">
        <v>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4147-2023</t>
        </is>
      </c>
      <c r="B13488" s="1" t="n">
        <v>44953</v>
      </c>
      <c r="C13488" s="1" t="n">
        <v>46011</v>
      </c>
      <c r="D13488" t="inlineStr">
        <is>
          <t>VÄSTRA GÖTALANDS LÄN</t>
        </is>
      </c>
      <c r="E13488" t="inlineStr">
        <is>
          <t>ALINGSÅS</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17507-2024</t>
        </is>
      </c>
      <c r="B13489" s="1" t="n">
        <v>45415.56604166667</v>
      </c>
      <c r="C13489" s="1" t="n">
        <v>46011</v>
      </c>
      <c r="D13489" t="inlineStr">
        <is>
          <t>VÄSTRA GÖTALANDS LÄN</t>
        </is>
      </c>
      <c r="E13489" t="inlineStr">
        <is>
          <t>ULRICEHAMN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4937-2023</t>
        </is>
      </c>
      <c r="B13490" s="1" t="n">
        <v>44958</v>
      </c>
      <c r="C13490" s="1" t="n">
        <v>46011</v>
      </c>
      <c r="D13490" t="inlineStr">
        <is>
          <t>VÄSTRA GÖTALANDS LÄN</t>
        </is>
      </c>
      <c r="E13490" t="inlineStr">
        <is>
          <t>BORÅS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4942-2023</t>
        </is>
      </c>
      <c r="B13491" s="1" t="n">
        <v>44958.43335648148</v>
      </c>
      <c r="C13491" s="1" t="n">
        <v>46011</v>
      </c>
      <c r="D13491" t="inlineStr">
        <is>
          <t>VÄSTRA GÖTALANDS LÄN</t>
        </is>
      </c>
      <c r="E13491" t="inlineStr">
        <is>
          <t>BENGTSFORS</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5032-2023</t>
        </is>
      </c>
      <c r="B13492" s="1" t="n">
        <v>44958.57836805555</v>
      </c>
      <c r="C13492" s="1" t="n">
        <v>46011</v>
      </c>
      <c r="D13492" t="inlineStr">
        <is>
          <t>VÄSTRA GÖTALANDS LÄN</t>
        </is>
      </c>
      <c r="E13492" t="inlineStr">
        <is>
          <t>FÄRGELANDA</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5033-2023</t>
        </is>
      </c>
      <c r="B13493" s="1" t="n">
        <v>44958.57884259259</v>
      </c>
      <c r="C13493" s="1" t="n">
        <v>46011</v>
      </c>
      <c r="D13493" t="inlineStr">
        <is>
          <t>VÄSTRA GÖTALANDS LÄN</t>
        </is>
      </c>
      <c r="E13493" t="inlineStr">
        <is>
          <t>TRANEMO</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54541-2024</t>
        </is>
      </c>
      <c r="B13494" s="1" t="n">
        <v>45617</v>
      </c>
      <c r="C13494" s="1" t="n">
        <v>46011</v>
      </c>
      <c r="D13494" t="inlineStr">
        <is>
          <t>VÄSTRA GÖTALANDS LÄN</t>
        </is>
      </c>
      <c r="E13494" t="inlineStr">
        <is>
          <t>BENGTSFORS</t>
        </is>
      </c>
      <c r="F13494" t="inlineStr">
        <is>
          <t>Kommuner</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6775-2024</t>
        </is>
      </c>
      <c r="B13495" s="1" t="n">
        <v>45342.50168981482</v>
      </c>
      <c r="C13495" s="1" t="n">
        <v>46011</v>
      </c>
      <c r="D13495" t="inlineStr">
        <is>
          <t>VÄSTRA GÖTALANDS LÄN</t>
        </is>
      </c>
      <c r="E13495" t="inlineStr">
        <is>
          <t>MARK</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56831-2022</t>
        </is>
      </c>
      <c r="B13496" s="1" t="n">
        <v>44894</v>
      </c>
      <c r="C13496" s="1" t="n">
        <v>46011</v>
      </c>
      <c r="D13496" t="inlineStr">
        <is>
          <t>VÄSTRA GÖTALANDS LÄN</t>
        </is>
      </c>
      <c r="E13496" t="inlineStr">
        <is>
          <t>TÖREBODA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56833-2022</t>
        </is>
      </c>
      <c r="B13497" s="1" t="n">
        <v>44894.45989583333</v>
      </c>
      <c r="C13497" s="1" t="n">
        <v>46011</v>
      </c>
      <c r="D13497" t="inlineStr">
        <is>
          <t>VÄSTRA GÖTALANDS LÄN</t>
        </is>
      </c>
      <c r="E13497" t="inlineStr">
        <is>
          <t>ULRICEHAMN</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507-2025</t>
        </is>
      </c>
      <c r="B13498" s="1" t="n">
        <v>45664.47</v>
      </c>
      <c r="C13498" s="1" t="n">
        <v>46011</v>
      </c>
      <c r="D13498" t="inlineStr">
        <is>
          <t>VÄSTRA GÖTALANDS LÄN</t>
        </is>
      </c>
      <c r="E13498" t="inlineStr">
        <is>
          <t>MELLERUD</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8893-2024</t>
        </is>
      </c>
      <c r="B13499" s="1" t="n">
        <v>45355</v>
      </c>
      <c r="C13499" s="1" t="n">
        <v>46011</v>
      </c>
      <c r="D13499" t="inlineStr">
        <is>
          <t>VÄSTRA GÖTALANDS LÄN</t>
        </is>
      </c>
      <c r="E13499" t="inlineStr">
        <is>
          <t>UDDEVALLA</t>
        </is>
      </c>
      <c r="F13499" t="inlineStr">
        <is>
          <t>Kyrkan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9021-2024</t>
        </is>
      </c>
      <c r="B13500" s="1" t="n">
        <v>45356</v>
      </c>
      <c r="C13500" s="1" t="n">
        <v>46011</v>
      </c>
      <c r="D13500" t="inlineStr">
        <is>
          <t>VÄSTRA GÖTALANDS LÄN</t>
        </is>
      </c>
      <c r="E13500" t="inlineStr">
        <is>
          <t>MUNKEDAL</t>
        </is>
      </c>
      <c r="F13500" t="inlineStr">
        <is>
          <t>Övriga Aktiebolag</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25071-2024</t>
        </is>
      </c>
      <c r="B13501" s="1" t="n">
        <v>45462</v>
      </c>
      <c r="C13501" s="1" t="n">
        <v>46011</v>
      </c>
      <c r="D13501" t="inlineStr">
        <is>
          <t>VÄSTRA GÖTALANDS LÄN</t>
        </is>
      </c>
      <c r="E13501" t="inlineStr">
        <is>
          <t>FALKÖPING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25075-2024</t>
        </is>
      </c>
      <c r="B13502" s="1" t="n">
        <v>45462</v>
      </c>
      <c r="C13502" s="1" t="n">
        <v>46011</v>
      </c>
      <c r="D13502" t="inlineStr">
        <is>
          <t>VÄSTRA GÖTALANDS LÄN</t>
        </is>
      </c>
      <c r="E13502" t="inlineStr">
        <is>
          <t>FALKÖPING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5392-2025</t>
        </is>
      </c>
      <c r="B13503" s="1" t="n">
        <v>45692.6357175926</v>
      </c>
      <c r="C13503" s="1" t="n">
        <v>46011</v>
      </c>
      <c r="D13503" t="inlineStr">
        <is>
          <t>VÄSTRA GÖTALANDS LÄN</t>
        </is>
      </c>
      <c r="E13503" t="inlineStr">
        <is>
          <t>TANUM</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2632-2025</t>
        </is>
      </c>
      <c r="B13504" s="1" t="n">
        <v>45675.8675</v>
      </c>
      <c r="C13504" s="1" t="n">
        <v>46011</v>
      </c>
      <c r="D13504" t="inlineStr">
        <is>
          <t>VÄSTRA GÖTALANDS LÄN</t>
        </is>
      </c>
      <c r="E13504" t="inlineStr">
        <is>
          <t>DALS-ED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37460-2023</t>
        </is>
      </c>
      <c r="B13505" s="1" t="n">
        <v>45156</v>
      </c>
      <c r="C13505" s="1" t="n">
        <v>46011</v>
      </c>
      <c r="D13505" t="inlineStr">
        <is>
          <t>VÄSTRA GÖTALANDS LÄN</t>
        </is>
      </c>
      <c r="E13505" t="inlineStr">
        <is>
          <t>SKARA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38500-2023</t>
        </is>
      </c>
      <c r="B13506" s="1" t="n">
        <v>45162.49694444444</v>
      </c>
      <c r="C13506" s="1" t="n">
        <v>46011</v>
      </c>
      <c r="D13506" t="inlineStr">
        <is>
          <t>VÄSTRA GÖTALANDS LÄN</t>
        </is>
      </c>
      <c r="E13506" t="inlineStr">
        <is>
          <t>TANUM</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15659-2025</t>
        </is>
      </c>
      <c r="B13507" s="1" t="n">
        <v>45748.42236111111</v>
      </c>
      <c r="C13507" s="1" t="n">
        <v>46011</v>
      </c>
      <c r="D13507" t="inlineStr">
        <is>
          <t>VÄSTRA GÖTALANDS LÄN</t>
        </is>
      </c>
      <c r="E13507" t="inlineStr">
        <is>
          <t>TROLLHÄTTAN</t>
        </is>
      </c>
      <c r="G13507" t="n">
        <v>0.3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4231-2023</t>
        </is>
      </c>
      <c r="B13508" s="1" t="n">
        <v>44953</v>
      </c>
      <c r="C13508" s="1" t="n">
        <v>46011</v>
      </c>
      <c r="D13508" t="inlineStr">
        <is>
          <t>VÄSTRA GÖTALANDS LÄN</t>
        </is>
      </c>
      <c r="E13508" t="inlineStr">
        <is>
          <t>SVENLJUNGA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29207-2024</t>
        </is>
      </c>
      <c r="B13509" s="1" t="n">
        <v>45482.61148148148</v>
      </c>
      <c r="C13509" s="1" t="n">
        <v>46011</v>
      </c>
      <c r="D13509" t="inlineStr">
        <is>
          <t>VÄSTRA GÖTALANDS LÄN</t>
        </is>
      </c>
      <c r="E13509" t="inlineStr">
        <is>
          <t>ULRICEHAMN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29969-2024</t>
        </is>
      </c>
      <c r="B13510" s="1" t="n">
        <v>45488.47434027777</v>
      </c>
      <c r="C13510" s="1" t="n">
        <v>46011</v>
      </c>
      <c r="D13510" t="inlineStr">
        <is>
          <t>VÄSTRA GÖTALANDS LÄN</t>
        </is>
      </c>
      <c r="E13510" t="inlineStr">
        <is>
          <t>MUNKEDAL</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23679-2024</t>
        </is>
      </c>
      <c r="B13511" s="1" t="n">
        <v>45454.6241087963</v>
      </c>
      <c r="C13511" s="1" t="n">
        <v>46011</v>
      </c>
      <c r="D13511" t="inlineStr">
        <is>
          <t>VÄSTRA GÖTALANDS LÄN</t>
        </is>
      </c>
      <c r="E13511" t="inlineStr">
        <is>
          <t>DALS-ED</t>
        </is>
      </c>
      <c r="F13511" t="inlineStr">
        <is>
          <t>Kyrkan</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32624-2023</t>
        </is>
      </c>
      <c r="B13512" s="1" t="n">
        <v>45111</v>
      </c>
      <c r="C13512" s="1" t="n">
        <v>46011</v>
      </c>
      <c r="D13512" t="inlineStr">
        <is>
          <t>VÄSTRA GÖTALANDS LÄN</t>
        </is>
      </c>
      <c r="E13512" t="inlineStr">
        <is>
          <t>GULLSPÅNG</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32163-2023</t>
        </is>
      </c>
      <c r="B13513" s="1" t="n">
        <v>45119</v>
      </c>
      <c r="C13513" s="1" t="n">
        <v>46011</v>
      </c>
      <c r="D13513" t="inlineStr">
        <is>
          <t>VÄSTRA GÖTALANDS LÄN</t>
        </is>
      </c>
      <c r="E13513" t="inlineStr">
        <is>
          <t>BORÅS</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2082-2025</t>
        </is>
      </c>
      <c r="B13514" s="1" t="n">
        <v>45672.58420138889</v>
      </c>
      <c r="C13514" s="1" t="n">
        <v>46011</v>
      </c>
      <c r="D13514" t="inlineStr">
        <is>
          <t>VÄSTRA GÖTALANDS LÄN</t>
        </is>
      </c>
      <c r="E13514" t="inlineStr">
        <is>
          <t>DALS-ED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2086-2025</t>
        </is>
      </c>
      <c r="B13515" s="1" t="n">
        <v>45672.59024305556</v>
      </c>
      <c r="C13515" s="1" t="n">
        <v>46011</v>
      </c>
      <c r="D13515" t="inlineStr">
        <is>
          <t>VÄSTRA GÖTALANDS LÄN</t>
        </is>
      </c>
      <c r="E13515" t="inlineStr">
        <is>
          <t>LIDKÖPING</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33129-2024</t>
        </is>
      </c>
      <c r="B13516" s="1" t="n">
        <v>45518.02157407408</v>
      </c>
      <c r="C13516" s="1" t="n">
        <v>46011</v>
      </c>
      <c r="D13516" t="inlineStr">
        <is>
          <t>VÄSTRA GÖTALANDS LÄN</t>
        </is>
      </c>
      <c r="E13516" t="inlineStr">
        <is>
          <t>ULRICEHAMN</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12760-2023</t>
        </is>
      </c>
      <c r="B13517" s="1" t="n">
        <v>45001</v>
      </c>
      <c r="C13517" s="1" t="n">
        <v>46011</v>
      </c>
      <c r="D13517" t="inlineStr">
        <is>
          <t>VÄSTRA GÖTALANDS LÄN</t>
        </is>
      </c>
      <c r="E13517" t="inlineStr">
        <is>
          <t>LILLA EDET</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35173-2024</t>
        </is>
      </c>
      <c r="B13518" s="1" t="n">
        <v>45530.42966435185</v>
      </c>
      <c r="C13518" s="1" t="n">
        <v>46011</v>
      </c>
      <c r="D13518" t="inlineStr">
        <is>
          <t>VÄSTRA GÖTALANDS LÄN</t>
        </is>
      </c>
      <c r="E13518" t="inlineStr">
        <is>
          <t>FÄRGELANDA</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12019-2024</t>
        </is>
      </c>
      <c r="B13519" s="1" t="n">
        <v>45377.36488425926</v>
      </c>
      <c r="C13519" s="1" t="n">
        <v>46011</v>
      </c>
      <c r="D13519" t="inlineStr">
        <is>
          <t>VÄSTRA GÖTALANDS LÄN</t>
        </is>
      </c>
      <c r="E13519" t="inlineStr">
        <is>
          <t>HERRLJUNGA</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12113-2024</t>
        </is>
      </c>
      <c r="B13520" s="1" t="n">
        <v>45377.60664351852</v>
      </c>
      <c r="C13520" s="1" t="n">
        <v>46011</v>
      </c>
      <c r="D13520" t="inlineStr">
        <is>
          <t>VÄSTRA GÖTALANDS LÄN</t>
        </is>
      </c>
      <c r="E13520" t="inlineStr">
        <is>
          <t>TRANEMO</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13131-2024</t>
        </is>
      </c>
      <c r="B13521" s="1" t="n">
        <v>45386</v>
      </c>
      <c r="C13521" s="1" t="n">
        <v>46011</v>
      </c>
      <c r="D13521" t="inlineStr">
        <is>
          <t>VÄSTRA GÖTALANDS LÄN</t>
        </is>
      </c>
      <c r="E13521" t="inlineStr">
        <is>
          <t>TROLLHÄTTAN</t>
        </is>
      </c>
      <c r="F13521" t="inlineStr">
        <is>
          <t>Kommuner</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60392-2022</t>
        </is>
      </c>
      <c r="B13522" s="1" t="n">
        <v>44910</v>
      </c>
      <c r="C13522" s="1" t="n">
        <v>46011</v>
      </c>
      <c r="D13522" t="inlineStr">
        <is>
          <t>VÄSTRA GÖTALANDS LÄN</t>
        </is>
      </c>
      <c r="E13522" t="inlineStr">
        <is>
          <t>TJÖRN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59192-2022</t>
        </is>
      </c>
      <c r="B13523" s="1" t="n">
        <v>44896</v>
      </c>
      <c r="C13523" s="1" t="n">
        <v>46011</v>
      </c>
      <c r="D13523" t="inlineStr">
        <is>
          <t>VÄSTRA GÖTALANDS LÄN</t>
        </is>
      </c>
      <c r="E13523" t="inlineStr">
        <is>
          <t>TJÖRN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59908-2024</t>
        </is>
      </c>
      <c r="B13524" s="1" t="n">
        <v>45641.61994212963</v>
      </c>
      <c r="C13524" s="1" t="n">
        <v>46011</v>
      </c>
      <c r="D13524" t="inlineStr">
        <is>
          <t>VÄSTRA GÖTALANDS LÄN</t>
        </is>
      </c>
      <c r="E13524" t="inlineStr">
        <is>
          <t>TRANEMO</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60717-2022</t>
        </is>
      </c>
      <c r="B13525" s="1" t="n">
        <v>44912.89078703704</v>
      </c>
      <c r="C13525" s="1" t="n">
        <v>46011</v>
      </c>
      <c r="D13525" t="inlineStr">
        <is>
          <t>VÄSTRA GÖTALANDS LÄN</t>
        </is>
      </c>
      <c r="E13525" t="inlineStr">
        <is>
          <t>TJÖRN</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1177-2025</t>
        </is>
      </c>
      <c r="B13526" s="1" t="n">
        <v>45667.34559027778</v>
      </c>
      <c r="C13526" s="1" t="n">
        <v>46011</v>
      </c>
      <c r="D13526" t="inlineStr">
        <is>
          <t>VÄSTRA GÖTALANDS LÄN</t>
        </is>
      </c>
      <c r="E13526" t="inlineStr">
        <is>
          <t>ULRICEHAMN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440-2023</t>
        </is>
      </c>
      <c r="B13527" s="1" t="n">
        <v>44929.70428240741</v>
      </c>
      <c r="C13527" s="1" t="n">
        <v>46011</v>
      </c>
      <c r="D13527" t="inlineStr">
        <is>
          <t>VÄSTRA GÖTALANDS LÄN</t>
        </is>
      </c>
      <c r="E13527" t="inlineStr">
        <is>
          <t>LYSEKIL</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37389-2024</t>
        </is>
      </c>
      <c r="B13528" s="1" t="n">
        <v>45540</v>
      </c>
      <c r="C13528" s="1" t="n">
        <v>46011</v>
      </c>
      <c r="D13528" t="inlineStr">
        <is>
          <t>VÄSTRA GÖTALANDS LÄN</t>
        </is>
      </c>
      <c r="E13528" t="inlineStr">
        <is>
          <t>MUNKEDAL</t>
        </is>
      </c>
      <c r="F13528" t="inlineStr">
        <is>
          <t>Övriga Aktiebolag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2028-2023</t>
        </is>
      </c>
      <c r="B13529" s="1" t="n">
        <v>44937</v>
      </c>
      <c r="C13529" s="1" t="n">
        <v>46011</v>
      </c>
      <c r="D13529" t="inlineStr">
        <is>
          <t>VÄSTRA GÖTALANDS LÄN</t>
        </is>
      </c>
      <c r="E13529" t="inlineStr">
        <is>
          <t>SVENLJUNGA</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20433-2024</t>
        </is>
      </c>
      <c r="B13530" s="1" t="n">
        <v>45435.61200231482</v>
      </c>
      <c r="C13530" s="1" t="n">
        <v>46011</v>
      </c>
      <c r="D13530" t="inlineStr">
        <is>
          <t>VÄSTRA GÖTALANDS LÄN</t>
        </is>
      </c>
      <c r="E13530" t="inlineStr">
        <is>
          <t>VARA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38056-2024</t>
        </is>
      </c>
      <c r="B13531" s="1" t="n">
        <v>45544.72979166666</v>
      </c>
      <c r="C13531" s="1" t="n">
        <v>46011</v>
      </c>
      <c r="D13531" t="inlineStr">
        <is>
          <t>VÄSTRA GÖTALANDS LÄN</t>
        </is>
      </c>
      <c r="E13531" t="inlineStr">
        <is>
          <t>ULRICEHAMN</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33888-2024</t>
        </is>
      </c>
      <c r="B13532" s="1" t="n">
        <v>45523</v>
      </c>
      <c r="C13532" s="1" t="n">
        <v>46011</v>
      </c>
      <c r="D13532" t="inlineStr">
        <is>
          <t>VÄSTRA GÖTALANDS LÄN</t>
        </is>
      </c>
      <c r="E13532" t="inlineStr">
        <is>
          <t>TANUM</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41804-2024</t>
        </is>
      </c>
      <c r="B13533" s="1" t="n">
        <v>45561.36818287037</v>
      </c>
      <c r="C13533" s="1" t="n">
        <v>46011</v>
      </c>
      <c r="D13533" t="inlineStr">
        <is>
          <t>VÄSTRA GÖTALANDS LÄN</t>
        </is>
      </c>
      <c r="E13533" t="inlineStr">
        <is>
          <t>DALS-ED</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56967-2024</t>
        </is>
      </c>
      <c r="B13534" s="1" t="n">
        <v>45628.6622337963</v>
      </c>
      <c r="C13534" s="1" t="n">
        <v>46011</v>
      </c>
      <c r="D13534" t="inlineStr">
        <is>
          <t>VÄSTRA GÖTALANDS LÄN</t>
        </is>
      </c>
      <c r="E13534" t="inlineStr">
        <is>
          <t>BENGTSFORS</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40121-2024</t>
        </is>
      </c>
      <c r="B13535" s="1" t="n">
        <v>45554.46591435185</v>
      </c>
      <c r="C13535" s="1" t="n">
        <v>46011</v>
      </c>
      <c r="D13535" t="inlineStr">
        <is>
          <t>VÄSTRA GÖTALANDS LÄN</t>
        </is>
      </c>
      <c r="E13535" t="inlineStr">
        <is>
          <t>UDDEVALLA</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32757-2024</t>
        </is>
      </c>
      <c r="B13536" s="1" t="n">
        <v>45516.4722800926</v>
      </c>
      <c r="C13536" s="1" t="n">
        <v>46011</v>
      </c>
      <c r="D13536" t="inlineStr">
        <is>
          <t>VÄSTRA GÖTALANDS LÄN</t>
        </is>
      </c>
      <c r="E13536" t="inlineStr">
        <is>
          <t>TANUM</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49134-2021</t>
        </is>
      </c>
      <c r="B13537" s="1" t="n">
        <v>44453</v>
      </c>
      <c r="C13537" s="1" t="n">
        <v>46011</v>
      </c>
      <c r="D13537" t="inlineStr">
        <is>
          <t>VÄSTRA GÖTALANDS LÄN</t>
        </is>
      </c>
      <c r="E13537" t="inlineStr">
        <is>
          <t>ORUST</t>
        </is>
      </c>
      <c r="F13537" t="inlineStr">
        <is>
          <t>Kommuner</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16021-2024</t>
        </is>
      </c>
      <c r="B13538" s="1" t="n">
        <v>45405.67314814815</v>
      </c>
      <c r="C13538" s="1" t="n">
        <v>46011</v>
      </c>
      <c r="D13538" t="inlineStr">
        <is>
          <t>VÄSTRA GÖTALANDS LÄN</t>
        </is>
      </c>
      <c r="E13538" t="inlineStr">
        <is>
          <t>BENGTSFORS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9216-2024</t>
        </is>
      </c>
      <c r="B13539" s="1" t="n">
        <v>45358.50931712963</v>
      </c>
      <c r="C13539" s="1" t="n">
        <v>46011</v>
      </c>
      <c r="D13539" t="inlineStr">
        <is>
          <t>VÄSTRA GÖTALANDS LÄN</t>
        </is>
      </c>
      <c r="E13539" t="inlineStr">
        <is>
          <t>VARA</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9259-2024</t>
        </is>
      </c>
      <c r="B13540" s="1" t="n">
        <v>45358.6052662037</v>
      </c>
      <c r="C13540" s="1" t="n">
        <v>46011</v>
      </c>
      <c r="D13540" t="inlineStr">
        <is>
          <t>VÄSTRA GÖTALANDS LÄN</t>
        </is>
      </c>
      <c r="E13540" t="inlineStr">
        <is>
          <t>ÅMÅL</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58982-2024</t>
        </is>
      </c>
      <c r="B13541" s="1" t="n">
        <v>45636.61945601852</v>
      </c>
      <c r="C13541" s="1" t="n">
        <v>46011</v>
      </c>
      <c r="D13541" t="inlineStr">
        <is>
          <t>VÄSTRA GÖTALANDS LÄN</t>
        </is>
      </c>
      <c r="E13541" t="inlineStr">
        <is>
          <t>BENGTSFORS</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4480-2023</t>
        </is>
      </c>
      <c r="B13542" s="1" t="n">
        <v>44956.51046296296</v>
      </c>
      <c r="C13542" s="1" t="n">
        <v>46011</v>
      </c>
      <c r="D13542" t="inlineStr">
        <is>
          <t>VÄSTRA GÖTALANDS LÄN</t>
        </is>
      </c>
      <c r="E13542" t="inlineStr">
        <is>
          <t>BENGTSFORS</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10500-2023</t>
        </is>
      </c>
      <c r="B13543" s="1" t="n">
        <v>44981</v>
      </c>
      <c r="C13543" s="1" t="n">
        <v>46011</v>
      </c>
      <c r="D13543" t="inlineStr">
        <is>
          <t>VÄSTRA GÖTALANDS LÄN</t>
        </is>
      </c>
      <c r="E13543" t="inlineStr">
        <is>
          <t>MARIESTAD</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5612-2025</t>
        </is>
      </c>
      <c r="B13544" s="1" t="n">
        <v>45693.60490740741</v>
      </c>
      <c r="C13544" s="1" t="n">
        <v>46011</v>
      </c>
      <c r="D13544" t="inlineStr">
        <is>
          <t>VÄSTRA GÖTALANDS LÄN</t>
        </is>
      </c>
      <c r="E13544" t="inlineStr">
        <is>
          <t>LILLA EDET</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36332-2023</t>
        </is>
      </c>
      <c r="B13545" s="1" t="n">
        <v>45152</v>
      </c>
      <c r="C13545" s="1" t="n">
        <v>46011</v>
      </c>
      <c r="D13545" t="inlineStr">
        <is>
          <t>VÄSTRA GÖTALANDS LÄN</t>
        </is>
      </c>
      <c r="E13545" t="inlineStr">
        <is>
          <t>ALINGSÅS</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36342-2023</t>
        </is>
      </c>
      <c r="B13546" s="1" t="n">
        <v>45152.45721064815</v>
      </c>
      <c r="C13546" s="1" t="n">
        <v>46011</v>
      </c>
      <c r="D13546" t="inlineStr">
        <is>
          <t>VÄSTRA GÖTALANDS LÄN</t>
        </is>
      </c>
      <c r="E13546" t="inlineStr">
        <is>
          <t>DALS-ED</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2796-2023</t>
        </is>
      </c>
      <c r="B13547" s="1" t="n">
        <v>44944.70200231481</v>
      </c>
      <c r="C13547" s="1" t="n">
        <v>46011</v>
      </c>
      <c r="D13547" t="inlineStr">
        <is>
          <t>VÄSTRA GÖTALANDS LÄN</t>
        </is>
      </c>
      <c r="E13547" t="inlineStr">
        <is>
          <t>KARLSBORG</t>
        </is>
      </c>
      <c r="F13547" t="inlineStr">
        <is>
          <t>Övriga Aktiebolag</t>
        </is>
      </c>
      <c r="G13547" t="n">
        <v>8.5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62022-2024</t>
        </is>
      </c>
      <c r="B13548" s="1" t="n">
        <v>45655.93005787037</v>
      </c>
      <c r="C13548" s="1" t="n">
        <v>46011</v>
      </c>
      <c r="D13548" t="inlineStr">
        <is>
          <t>VÄSTRA GÖTALANDS LÄN</t>
        </is>
      </c>
      <c r="E13548" t="inlineStr">
        <is>
          <t>BENGTSFORS</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25007-2023</t>
        </is>
      </c>
      <c r="B13549" s="1" t="n">
        <v>45085.67021990741</v>
      </c>
      <c r="C13549" s="1" t="n">
        <v>46011</v>
      </c>
      <c r="D13549" t="inlineStr">
        <is>
          <t>VÄSTRA GÖTALANDS LÄN</t>
        </is>
      </c>
      <c r="E13549" t="inlineStr">
        <is>
          <t>DALS-ED</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6064-2025</t>
        </is>
      </c>
      <c r="B13550" s="1" t="n">
        <v>45696.28527777778</v>
      </c>
      <c r="C13550" s="1" t="n">
        <v>46011</v>
      </c>
      <c r="D13550" t="inlineStr">
        <is>
          <t>VÄSTRA GÖTALANDS LÄN</t>
        </is>
      </c>
      <c r="E13550" t="inlineStr">
        <is>
          <t>BOLLEBYGD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25147-2023</t>
        </is>
      </c>
      <c r="B13551" s="1" t="n">
        <v>45086.47355324074</v>
      </c>
      <c r="C13551" s="1" t="n">
        <v>46011</v>
      </c>
      <c r="D13551" t="inlineStr">
        <is>
          <t>VÄSTRA GÖTALANDS LÄN</t>
        </is>
      </c>
      <c r="E13551" t="inlineStr">
        <is>
          <t>HERRLJUNGA</t>
        </is>
      </c>
      <c r="G13551" t="n">
        <v>5.3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20274-2025</t>
        </is>
      </c>
      <c r="B13552" s="1" t="n">
        <v>45774.31408564815</v>
      </c>
      <c r="C13552" s="1" t="n">
        <v>46011</v>
      </c>
      <c r="D13552" t="inlineStr">
        <is>
          <t>VÄSTRA GÖTALANDS LÄN</t>
        </is>
      </c>
      <c r="E13552" t="inlineStr">
        <is>
          <t>MUNKEDAL</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46339-2024</t>
        </is>
      </c>
      <c r="B13553" s="1" t="n">
        <v>45582.30826388889</v>
      </c>
      <c r="C13553" s="1" t="n">
        <v>46011</v>
      </c>
      <c r="D13553" t="inlineStr">
        <is>
          <t>VÄSTRA GÖTALANDS LÄN</t>
        </is>
      </c>
      <c r="E13553" t="inlineStr">
        <is>
          <t>HJO</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8474-2023</t>
        </is>
      </c>
      <c r="B13554" s="1" t="n">
        <v>44977.50395833333</v>
      </c>
      <c r="C13554" s="1" t="n">
        <v>46011</v>
      </c>
      <c r="D13554" t="inlineStr">
        <is>
          <t>VÄSTRA GÖTALANDS LÄN</t>
        </is>
      </c>
      <c r="E13554" t="inlineStr">
        <is>
          <t>LYSEKIL</t>
        </is>
      </c>
      <c r="G13554" t="n">
        <v>0.3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36287-2022</t>
        </is>
      </c>
      <c r="B13555" s="1" t="n">
        <v>44803</v>
      </c>
      <c r="C13555" s="1" t="n">
        <v>46011</v>
      </c>
      <c r="D13555" t="inlineStr">
        <is>
          <t>VÄSTRA GÖTALANDS LÄN</t>
        </is>
      </c>
      <c r="E13555" t="inlineStr">
        <is>
          <t>MARK</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1607-2024</t>
        </is>
      </c>
      <c r="B13556" s="1" t="n">
        <v>45306.61697916667</v>
      </c>
      <c r="C13556" s="1" t="n">
        <v>46011</v>
      </c>
      <c r="D13556" t="inlineStr">
        <is>
          <t>VÄSTRA GÖTALANDS LÄN</t>
        </is>
      </c>
      <c r="E13556" t="inlineStr">
        <is>
          <t>HERRLJUNGA</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9309-2025</t>
        </is>
      </c>
      <c r="B13557" s="1" t="n">
        <v>45714.68129629629</v>
      </c>
      <c r="C13557" s="1" t="n">
        <v>46011</v>
      </c>
      <c r="D13557" t="inlineStr">
        <is>
          <t>VÄSTRA GÖTALANDS LÄN</t>
        </is>
      </c>
      <c r="E13557" t="inlineStr">
        <is>
          <t>SVENLJUNGA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17503-2024</t>
        </is>
      </c>
      <c r="B13558" s="1" t="n">
        <v>45415.5575925926</v>
      </c>
      <c r="C13558" s="1" t="n">
        <v>46011</v>
      </c>
      <c r="D13558" t="inlineStr">
        <is>
          <t>VÄSTRA GÖTALANDS LÄN</t>
        </is>
      </c>
      <c r="E13558" t="inlineStr">
        <is>
          <t>DALS-ED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17515-2024</t>
        </is>
      </c>
      <c r="B13559" s="1" t="n">
        <v>45415.58402777778</v>
      </c>
      <c r="C13559" s="1" t="n">
        <v>46011</v>
      </c>
      <c r="D13559" t="inlineStr">
        <is>
          <t>VÄSTRA GÖTALANDS LÄN</t>
        </is>
      </c>
      <c r="E13559" t="inlineStr">
        <is>
          <t>TANUM</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2404-2025</t>
        </is>
      </c>
      <c r="B13560" s="1" t="n">
        <v>45674.35633101852</v>
      </c>
      <c r="C13560" s="1" t="n">
        <v>46011</v>
      </c>
      <c r="D13560" t="inlineStr">
        <is>
          <t>VÄSTRA GÖTALANDS LÄN</t>
        </is>
      </c>
      <c r="E13560" t="inlineStr">
        <is>
          <t>TROLLHÄTTAN</t>
        </is>
      </c>
      <c r="G13560" t="n">
        <v>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18581-2025</t>
        </is>
      </c>
      <c r="B13561" s="1" t="n">
        <v>45763.46733796296</v>
      </c>
      <c r="C13561" s="1" t="n">
        <v>46011</v>
      </c>
      <c r="D13561" t="inlineStr">
        <is>
          <t>VÄSTRA GÖTALANDS LÄN</t>
        </is>
      </c>
      <c r="E13561" t="inlineStr">
        <is>
          <t>MARK</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18138-2025</t>
        </is>
      </c>
      <c r="B13562" s="1" t="n">
        <v>45761.60342592592</v>
      </c>
      <c r="C13562" s="1" t="n">
        <v>46011</v>
      </c>
      <c r="D13562" t="inlineStr">
        <is>
          <t>VÄSTRA GÖTALANDS LÄN</t>
        </is>
      </c>
      <c r="E13562" t="inlineStr">
        <is>
          <t>LYSEKIL</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18142-2025</t>
        </is>
      </c>
      <c r="B13563" s="1" t="n">
        <v>45761.60667824074</v>
      </c>
      <c r="C13563" s="1" t="n">
        <v>46011</v>
      </c>
      <c r="D13563" t="inlineStr">
        <is>
          <t>VÄSTRA GÖTALANDS LÄN</t>
        </is>
      </c>
      <c r="E13563" t="inlineStr">
        <is>
          <t>LYSEKIL</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18143-2025</t>
        </is>
      </c>
      <c r="B13564" s="1" t="n">
        <v>45761.60916666667</v>
      </c>
      <c r="C13564" s="1" t="n">
        <v>46011</v>
      </c>
      <c r="D13564" t="inlineStr">
        <is>
          <t>VÄSTRA GÖTALANDS LÄN</t>
        </is>
      </c>
      <c r="E13564" t="inlineStr">
        <is>
          <t>LYSEKIL</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18159-2025</t>
        </is>
      </c>
      <c r="B13565" s="1" t="n">
        <v>45761.62880787037</v>
      </c>
      <c r="C13565" s="1" t="n">
        <v>46011</v>
      </c>
      <c r="D13565" t="inlineStr">
        <is>
          <t>VÄSTRA GÖTALANDS LÄN</t>
        </is>
      </c>
      <c r="E13565" t="inlineStr">
        <is>
          <t>MUNKEDAL</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18178-2025</t>
        </is>
      </c>
      <c r="B13566" s="1" t="n">
        <v>45761.65679398148</v>
      </c>
      <c r="C13566" s="1" t="n">
        <v>46011</v>
      </c>
      <c r="D13566" t="inlineStr">
        <is>
          <t>VÄSTRA GÖTALANDS LÄN</t>
        </is>
      </c>
      <c r="E13566" t="inlineStr">
        <is>
          <t>FÄRGELANDA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53943-2024</t>
        </is>
      </c>
      <c r="B13567" s="1" t="n">
        <v>45616.18262731482</v>
      </c>
      <c r="C13567" s="1" t="n">
        <v>46011</v>
      </c>
      <c r="D13567" t="inlineStr">
        <is>
          <t>VÄSTRA GÖTALANDS LÄN</t>
        </is>
      </c>
      <c r="E13567" t="inlineStr">
        <is>
          <t>GRÄSTORP</t>
        </is>
      </c>
      <c r="G13567" t="n">
        <v>0</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33033-2024</t>
        </is>
      </c>
      <c r="B13568" s="1" t="n">
        <v>45517</v>
      </c>
      <c r="C13568" s="1" t="n">
        <v>46011</v>
      </c>
      <c r="D13568" t="inlineStr">
        <is>
          <t>VÄSTRA GÖTALANDS LÄN</t>
        </is>
      </c>
      <c r="E13568" t="inlineStr">
        <is>
          <t>VÄNERSBORG</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46505-2024</t>
        </is>
      </c>
      <c r="B13569" s="1" t="n">
        <v>45582.61121527778</v>
      </c>
      <c r="C13569" s="1" t="n">
        <v>46011</v>
      </c>
      <c r="D13569" t="inlineStr">
        <is>
          <t>VÄSTRA GÖTALANDS LÄN</t>
        </is>
      </c>
      <c r="E13569" t="inlineStr">
        <is>
          <t>ULRICEHAMN</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13247-2021</t>
        </is>
      </c>
      <c r="B13570" s="1" t="n">
        <v>44272.62681712963</v>
      </c>
      <c r="C13570" s="1" t="n">
        <v>46011</v>
      </c>
      <c r="D13570" t="inlineStr">
        <is>
          <t>VÄSTRA GÖTALANDS LÄN</t>
        </is>
      </c>
      <c r="E13570" t="inlineStr">
        <is>
          <t>GÖTENE</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38955-2022</t>
        </is>
      </c>
      <c r="B13571" s="1" t="n">
        <v>44816.71021990741</v>
      </c>
      <c r="C13571" s="1" t="n">
        <v>46011</v>
      </c>
      <c r="D13571" t="inlineStr">
        <is>
          <t>VÄSTRA GÖTALANDS LÄN</t>
        </is>
      </c>
      <c r="E13571" t="inlineStr">
        <is>
          <t>ALINGSÅS</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44264-2023</t>
        </is>
      </c>
      <c r="B13572" s="1" t="n">
        <v>45181</v>
      </c>
      <c r="C13572" s="1" t="n">
        <v>46011</v>
      </c>
      <c r="D13572" t="inlineStr">
        <is>
          <t>VÄSTRA GÖTALANDS LÄN</t>
        </is>
      </c>
      <c r="E13572" t="inlineStr">
        <is>
          <t>BENGTSFORS</t>
        </is>
      </c>
      <c r="G13572" t="n">
        <v>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44285-2023</t>
        </is>
      </c>
      <c r="B13573" s="1" t="n">
        <v>45188.62711805556</v>
      </c>
      <c r="C13573" s="1" t="n">
        <v>46011</v>
      </c>
      <c r="D13573" t="inlineStr">
        <is>
          <t>VÄSTRA GÖTALANDS LÄN</t>
        </is>
      </c>
      <c r="E13573" t="inlineStr">
        <is>
          <t>FALKÖPING</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18932-2023</t>
        </is>
      </c>
      <c r="B13574" s="1" t="n">
        <v>45044</v>
      </c>
      <c r="C13574" s="1" t="n">
        <v>46011</v>
      </c>
      <c r="D13574" t="inlineStr">
        <is>
          <t>VÄSTRA GÖTALANDS LÄN</t>
        </is>
      </c>
      <c r="E13574" t="inlineStr">
        <is>
          <t>TRANEMO</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4949-2024</t>
        </is>
      </c>
      <c r="B13575" s="1" t="n">
        <v>45329.57056712963</v>
      </c>
      <c r="C13575" s="1" t="n">
        <v>46011</v>
      </c>
      <c r="D13575" t="inlineStr">
        <is>
          <t>VÄSTRA GÖTALANDS LÄN</t>
        </is>
      </c>
      <c r="E13575" t="inlineStr">
        <is>
          <t>MARIESTAD</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4966-2024</t>
        </is>
      </c>
      <c r="B13576" s="1" t="n">
        <v>45329.60322916666</v>
      </c>
      <c r="C13576" s="1" t="n">
        <v>46011</v>
      </c>
      <c r="D13576" t="inlineStr">
        <is>
          <t>VÄSTRA GÖTALANDS LÄN</t>
        </is>
      </c>
      <c r="E13576" t="inlineStr">
        <is>
          <t>TRANEMO</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11589-2022</t>
        </is>
      </c>
      <c r="B13577" s="1" t="n">
        <v>44631</v>
      </c>
      <c r="C13577" s="1" t="n">
        <v>46011</v>
      </c>
      <c r="D13577" t="inlineStr">
        <is>
          <t>VÄSTRA GÖTALANDS LÄN</t>
        </is>
      </c>
      <c r="E13577" t="inlineStr">
        <is>
          <t>VARA</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10416-2024</t>
        </is>
      </c>
      <c r="B13578" s="1" t="n">
        <v>45365</v>
      </c>
      <c r="C13578" s="1" t="n">
        <v>46011</v>
      </c>
      <c r="D13578" t="inlineStr">
        <is>
          <t>VÄSTRA GÖTALANDS LÄN</t>
        </is>
      </c>
      <c r="E13578" t="inlineStr">
        <is>
          <t>GULLSPÅNG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10419-2024</t>
        </is>
      </c>
      <c r="B13579" s="1" t="n">
        <v>45365</v>
      </c>
      <c r="C13579" s="1" t="n">
        <v>46011</v>
      </c>
      <c r="D13579" t="inlineStr">
        <is>
          <t>VÄSTRA GÖTALANDS LÄN</t>
        </is>
      </c>
      <c r="E13579" t="inlineStr">
        <is>
          <t>GULLSPÅNG</t>
        </is>
      </c>
      <c r="G13579" t="n">
        <v>7.7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43574-2023</t>
        </is>
      </c>
      <c r="B13580" s="1" t="n">
        <v>45184</v>
      </c>
      <c r="C13580" s="1" t="n">
        <v>46011</v>
      </c>
      <c r="D13580" t="inlineStr">
        <is>
          <t>VÄSTRA GÖTALANDS LÄN</t>
        </is>
      </c>
      <c r="E13580" t="inlineStr">
        <is>
          <t>BORÅS</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49131-2024</t>
        </is>
      </c>
      <c r="B13581" s="1" t="n">
        <v>45594.68315972222</v>
      </c>
      <c r="C13581" s="1" t="n">
        <v>46011</v>
      </c>
      <c r="D13581" t="inlineStr">
        <is>
          <t>VÄSTRA GÖTALANDS LÄN</t>
        </is>
      </c>
      <c r="E13581" t="inlineStr">
        <is>
          <t>VÄNERSBORG</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10451-2024</t>
        </is>
      </c>
      <c r="B13582" s="1" t="n">
        <v>45366.35112268518</v>
      </c>
      <c r="C13582" s="1" t="n">
        <v>46011</v>
      </c>
      <c r="D13582" t="inlineStr">
        <is>
          <t>VÄSTRA GÖTALANDS LÄN</t>
        </is>
      </c>
      <c r="E13582" t="inlineStr">
        <is>
          <t>GÖTENE</t>
        </is>
      </c>
      <c r="F13582" t="inlineStr">
        <is>
          <t>Sveaskog</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38586-2023</t>
        </is>
      </c>
      <c r="B13583" s="1" t="n">
        <v>45162.63375</v>
      </c>
      <c r="C13583" s="1" t="n">
        <v>46011</v>
      </c>
      <c r="D13583" t="inlineStr">
        <is>
          <t>VÄSTRA GÖTALANDS LÄN</t>
        </is>
      </c>
      <c r="E13583" t="inlineStr">
        <is>
          <t>BOLLEBYGD</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16395-2021</t>
        </is>
      </c>
      <c r="B13584" s="1" t="n">
        <v>44293</v>
      </c>
      <c r="C13584" s="1" t="n">
        <v>46011</v>
      </c>
      <c r="D13584" t="inlineStr">
        <is>
          <t>VÄSTRA GÖTALANDS LÄN</t>
        </is>
      </c>
      <c r="E13584" t="inlineStr">
        <is>
          <t>HJO</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39472-2023</t>
        </is>
      </c>
      <c r="B13585" s="1" t="n">
        <v>45166.87391203704</v>
      </c>
      <c r="C13585" s="1" t="n">
        <v>46011</v>
      </c>
      <c r="D13585" t="inlineStr">
        <is>
          <t>VÄSTRA GÖTALANDS LÄN</t>
        </is>
      </c>
      <c r="E13585" t="inlineStr">
        <is>
          <t>ALINGSÅS</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934-2025</t>
        </is>
      </c>
      <c r="B13586" s="1" t="n">
        <v>45666.28506944444</v>
      </c>
      <c r="C13586" s="1" t="n">
        <v>46011</v>
      </c>
      <c r="D13586" t="inlineStr">
        <is>
          <t>VÄSTRA GÖTALANDS LÄN</t>
        </is>
      </c>
      <c r="E13586" t="inlineStr">
        <is>
          <t>BORÅS</t>
        </is>
      </c>
      <c r="F13586" t="inlineStr">
        <is>
          <t>Sveaskog</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24349-2022</t>
        </is>
      </c>
      <c r="B13587" s="1" t="n">
        <v>44726</v>
      </c>
      <c r="C13587" s="1" t="n">
        <v>46011</v>
      </c>
      <c r="D13587" t="inlineStr">
        <is>
          <t>VÄSTRA GÖTALANDS LÄN</t>
        </is>
      </c>
      <c r="E13587" t="inlineStr">
        <is>
          <t>FALKÖPING</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57991-2023</t>
        </is>
      </c>
      <c r="B13588" s="1" t="n">
        <v>45247.6030787037</v>
      </c>
      <c r="C13588" s="1" t="n">
        <v>46011</v>
      </c>
      <c r="D13588" t="inlineStr">
        <is>
          <t>VÄSTRA GÖTALANDS LÄN</t>
        </is>
      </c>
      <c r="E13588" t="inlineStr">
        <is>
          <t>FÄRGELANDA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61213-2022</t>
        </is>
      </c>
      <c r="B13589" s="1" t="n">
        <v>44908</v>
      </c>
      <c r="C13589" s="1" t="n">
        <v>46011</v>
      </c>
      <c r="D13589" t="inlineStr">
        <is>
          <t>VÄSTRA GÖTALANDS LÄN</t>
        </is>
      </c>
      <c r="E13589" t="inlineStr">
        <is>
          <t>TANUM</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302-2024</t>
        </is>
      </c>
      <c r="B13590" s="1" t="n">
        <v>45295</v>
      </c>
      <c r="C13590" s="1" t="n">
        <v>46011</v>
      </c>
      <c r="D13590" t="inlineStr">
        <is>
          <t>VÄSTRA GÖTALANDS LÄN</t>
        </is>
      </c>
      <c r="E13590" t="inlineStr">
        <is>
          <t>LILLA EDET</t>
        </is>
      </c>
      <c r="F13590" t="inlineStr">
        <is>
          <t>Kyrkan</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20355-2025</t>
        </is>
      </c>
      <c r="B13591" s="1" t="n">
        <v>45775.39359953703</v>
      </c>
      <c r="C13591" s="1" t="n">
        <v>46011</v>
      </c>
      <c r="D13591" t="inlineStr">
        <is>
          <t>VÄSTRA GÖTALANDS LÄN</t>
        </is>
      </c>
      <c r="E13591" t="inlineStr">
        <is>
          <t>FALKÖPING</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50988-2024</t>
        </is>
      </c>
      <c r="B13592" s="1" t="n">
        <v>45603.36789351852</v>
      </c>
      <c r="C13592" s="1" t="n">
        <v>46011</v>
      </c>
      <c r="D13592" t="inlineStr">
        <is>
          <t>VÄSTRA GÖTALANDS LÄN</t>
        </is>
      </c>
      <c r="E13592" t="inlineStr">
        <is>
          <t>BENGTSFORS</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18290-2024</t>
        </is>
      </c>
      <c r="B13593" s="1" t="n">
        <v>45422.39239583333</v>
      </c>
      <c r="C13593" s="1" t="n">
        <v>46011</v>
      </c>
      <c r="D13593" t="inlineStr">
        <is>
          <t>VÄSTRA GÖTALANDS LÄN</t>
        </is>
      </c>
      <c r="E13593" t="inlineStr">
        <is>
          <t>BENGTSFORS</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17456-2024</t>
        </is>
      </c>
      <c r="B13594" s="1" t="n">
        <v>45415.4027199074</v>
      </c>
      <c r="C13594" s="1" t="n">
        <v>46011</v>
      </c>
      <c r="D13594" t="inlineStr">
        <is>
          <t>VÄSTRA GÖTALANDS LÄN</t>
        </is>
      </c>
      <c r="E13594" t="inlineStr">
        <is>
          <t>FÄRGELANDA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60148-2022</t>
        </is>
      </c>
      <c r="B13595" s="1" t="n">
        <v>44909</v>
      </c>
      <c r="C13595" s="1" t="n">
        <v>46011</v>
      </c>
      <c r="D13595" t="inlineStr">
        <is>
          <t>VÄSTRA GÖTALANDS LÄN</t>
        </is>
      </c>
      <c r="E13595" t="inlineStr">
        <is>
          <t>ÅMÅL</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43524-2024</t>
        </is>
      </c>
      <c r="B13596" s="1" t="n">
        <v>45569.34135416667</v>
      </c>
      <c r="C13596" s="1" t="n">
        <v>46011</v>
      </c>
      <c r="D13596" t="inlineStr">
        <is>
          <t>VÄSTRA GÖTALANDS LÄN</t>
        </is>
      </c>
      <c r="E13596" t="inlineStr">
        <is>
          <t>SVENLJUNGA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12877-2024</t>
        </is>
      </c>
      <c r="B13597" s="1" t="n">
        <v>45385.31694444444</v>
      </c>
      <c r="C13597" s="1" t="n">
        <v>46011</v>
      </c>
      <c r="D13597" t="inlineStr">
        <is>
          <t>VÄSTRA GÖTALANDS LÄN</t>
        </is>
      </c>
      <c r="E13597" t="inlineStr">
        <is>
          <t>BENGTSFORS</t>
        </is>
      </c>
      <c r="F13597" t="inlineStr">
        <is>
          <t>Övriga Aktiebolag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2619-2025</t>
        </is>
      </c>
      <c r="B13598" s="1" t="n">
        <v>45675</v>
      </c>
      <c r="C13598" s="1" t="n">
        <v>46011</v>
      </c>
      <c r="D13598" t="inlineStr">
        <is>
          <t>VÄSTRA GÖTALANDS LÄN</t>
        </is>
      </c>
      <c r="E13598" t="inlineStr">
        <is>
          <t>ULRICEHAMN</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60191-2022</t>
        </is>
      </c>
      <c r="B13599" s="1" t="n">
        <v>44910</v>
      </c>
      <c r="C13599" s="1" t="n">
        <v>46011</v>
      </c>
      <c r="D13599" t="inlineStr">
        <is>
          <t>VÄSTRA GÖTALANDS LÄN</t>
        </is>
      </c>
      <c r="E13599" t="inlineStr">
        <is>
          <t>VÅRGÅRDA</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2673-2025</t>
        </is>
      </c>
      <c r="B13600" s="1" t="n">
        <v>45677.33115740741</v>
      </c>
      <c r="C13600" s="1" t="n">
        <v>46011</v>
      </c>
      <c r="D13600" t="inlineStr">
        <is>
          <t>VÄSTRA GÖTALANDS LÄN</t>
        </is>
      </c>
      <c r="E13600" t="inlineStr">
        <is>
          <t>TRANEMO</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2680-2025</t>
        </is>
      </c>
      <c r="B13601" s="1" t="n">
        <v>45677.34737268519</v>
      </c>
      <c r="C13601" s="1" t="n">
        <v>46011</v>
      </c>
      <c r="D13601" t="inlineStr">
        <is>
          <t>VÄSTRA GÖTALANDS LÄN</t>
        </is>
      </c>
      <c r="E13601" t="inlineStr">
        <is>
          <t>VARA</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58206-2022</t>
        </is>
      </c>
      <c r="B13602" s="1" t="n">
        <v>44901</v>
      </c>
      <c r="C13602" s="1" t="n">
        <v>46011</v>
      </c>
      <c r="D13602" t="inlineStr">
        <is>
          <t>VÄSTRA GÖTALANDS LÄN</t>
        </is>
      </c>
      <c r="E13602" t="inlineStr">
        <is>
          <t>DALS-ED</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61409-2022</t>
        </is>
      </c>
      <c r="B13603" s="1" t="n">
        <v>44909</v>
      </c>
      <c r="C13603" s="1" t="n">
        <v>46011</v>
      </c>
      <c r="D13603" t="inlineStr">
        <is>
          <t>VÄSTRA GÖTALANDS LÄN</t>
        </is>
      </c>
      <c r="E13603" t="inlineStr">
        <is>
          <t>VÄNERSBORG</t>
        </is>
      </c>
      <c r="G13603" t="n">
        <v>5.5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4376-2025</t>
        </is>
      </c>
      <c r="B13604" s="1" t="n">
        <v>45686.38752314815</v>
      </c>
      <c r="C13604" s="1" t="n">
        <v>46011</v>
      </c>
      <c r="D13604" t="inlineStr">
        <is>
          <t>VÄSTRA GÖTALANDS LÄN</t>
        </is>
      </c>
      <c r="E13604" t="inlineStr">
        <is>
          <t>MARK</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2561-2025</t>
        </is>
      </c>
      <c r="B13605" s="1" t="n">
        <v>45674.65553240741</v>
      </c>
      <c r="C13605" s="1" t="n">
        <v>46011</v>
      </c>
      <c r="D13605" t="inlineStr">
        <is>
          <t>VÄSTRA GÖTALANDS LÄN</t>
        </is>
      </c>
      <c r="E13605" t="inlineStr">
        <is>
          <t>MARK</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3849-2025</t>
        </is>
      </c>
      <c r="B13606" s="1" t="n">
        <v>45683.84034722222</v>
      </c>
      <c r="C13606" s="1" t="n">
        <v>46011</v>
      </c>
      <c r="D13606" t="inlineStr">
        <is>
          <t>VÄSTRA GÖTALANDS LÄN</t>
        </is>
      </c>
      <c r="E13606" t="inlineStr">
        <is>
          <t>ULRICEHAMN</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3850-2025</t>
        </is>
      </c>
      <c r="B13607" s="1" t="n">
        <v>45683.84642361111</v>
      </c>
      <c r="C13607" s="1" t="n">
        <v>46011</v>
      </c>
      <c r="D13607" t="inlineStr">
        <is>
          <t>VÄSTRA GÖTALANDS LÄN</t>
        </is>
      </c>
      <c r="E13607" t="inlineStr">
        <is>
          <t>ULRICEHAMN</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2639-2025</t>
        </is>
      </c>
      <c r="B13608" s="1" t="n">
        <v>45675</v>
      </c>
      <c r="C13608" s="1" t="n">
        <v>46011</v>
      </c>
      <c r="D13608" t="inlineStr">
        <is>
          <t>VÄSTRA GÖTALANDS LÄN</t>
        </is>
      </c>
      <c r="E13608" t="inlineStr">
        <is>
          <t>FALKÖPING</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14383-2024</t>
        </is>
      </c>
      <c r="B13609" s="1" t="n">
        <v>45394</v>
      </c>
      <c r="C13609" s="1" t="n">
        <v>46011</v>
      </c>
      <c r="D13609" t="inlineStr">
        <is>
          <t>VÄSTRA GÖTALANDS LÄN</t>
        </is>
      </c>
      <c r="E13609" t="inlineStr">
        <is>
          <t>TIBRO</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4363-2024</t>
        </is>
      </c>
      <c r="B13610" s="1" t="n">
        <v>45325</v>
      </c>
      <c r="C13610" s="1" t="n">
        <v>46011</v>
      </c>
      <c r="D13610" t="inlineStr">
        <is>
          <t>VÄSTRA GÖTALANDS LÄN</t>
        </is>
      </c>
      <c r="E13610" t="inlineStr">
        <is>
          <t>ALE</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4369-2024</t>
        </is>
      </c>
      <c r="B13611" s="1" t="n">
        <v>45326.67398148148</v>
      </c>
      <c r="C13611" s="1" t="n">
        <v>46011</v>
      </c>
      <c r="D13611" t="inlineStr">
        <is>
          <t>VÄSTRA GÖTALANDS LÄN</t>
        </is>
      </c>
      <c r="E13611" t="inlineStr">
        <is>
          <t>DALS-ED</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2908-2025</t>
        </is>
      </c>
      <c r="B13612" s="1" t="n">
        <v>45677.82644675926</v>
      </c>
      <c r="C13612" s="1" t="n">
        <v>46011</v>
      </c>
      <c r="D13612" t="inlineStr">
        <is>
          <t>VÄSTRA GÖTALANDS LÄN</t>
        </is>
      </c>
      <c r="E13612" t="inlineStr">
        <is>
          <t>MARIESTAD</t>
        </is>
      </c>
      <c r="G13612" t="n">
        <v>8.800000000000001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54740-2022</t>
        </is>
      </c>
      <c r="B13613" s="1" t="n">
        <v>44883</v>
      </c>
      <c r="C13613" s="1" t="n">
        <v>46011</v>
      </c>
      <c r="D13613" t="inlineStr">
        <is>
          <t>VÄSTRA GÖTALANDS LÄN</t>
        </is>
      </c>
      <c r="E13613" t="inlineStr">
        <is>
          <t>LYSEKIL</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34112-2023</t>
        </is>
      </c>
      <c r="B13614" s="1" t="n">
        <v>45126</v>
      </c>
      <c r="C13614" s="1" t="n">
        <v>46011</v>
      </c>
      <c r="D13614" t="inlineStr">
        <is>
          <t>VÄSTRA GÖTALANDS LÄN</t>
        </is>
      </c>
      <c r="E13614" t="inlineStr">
        <is>
          <t>ÅMÅL</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18248-2024</t>
        </is>
      </c>
      <c r="B13615" s="1" t="n">
        <v>45421.43105324074</v>
      </c>
      <c r="C13615" s="1" t="n">
        <v>46011</v>
      </c>
      <c r="D13615" t="inlineStr">
        <is>
          <t>VÄSTRA GÖTALANDS LÄN</t>
        </is>
      </c>
      <c r="E13615" t="inlineStr">
        <is>
          <t>BORÅS</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56379-2022</t>
        </is>
      </c>
      <c r="B13616" s="1" t="n">
        <v>44890</v>
      </c>
      <c r="C13616" s="1" t="n">
        <v>46011</v>
      </c>
      <c r="D13616" t="inlineStr">
        <is>
          <t>VÄSTRA GÖTALANDS LÄN</t>
        </is>
      </c>
      <c r="E13616" t="inlineStr">
        <is>
          <t>TANUM</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4315-2024</t>
        </is>
      </c>
      <c r="B13617" s="1" t="n">
        <v>45324</v>
      </c>
      <c r="C13617" s="1" t="n">
        <v>46011</v>
      </c>
      <c r="D13617" t="inlineStr">
        <is>
          <t>VÄSTRA GÖTALANDS LÄN</t>
        </is>
      </c>
      <c r="E13617" t="inlineStr">
        <is>
          <t>HÄRRYDA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4316-2024</t>
        </is>
      </c>
      <c r="B13618" s="1" t="n">
        <v>45324.65905092593</v>
      </c>
      <c r="C13618" s="1" t="n">
        <v>46011</v>
      </c>
      <c r="D13618" t="inlineStr">
        <is>
          <t>VÄSTRA GÖTALANDS LÄN</t>
        </is>
      </c>
      <c r="E13618" t="inlineStr">
        <is>
          <t>TIBRO</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59446-2022</t>
        </is>
      </c>
      <c r="B13619" s="1" t="n">
        <v>44907.40200231481</v>
      </c>
      <c r="C13619" s="1" t="n">
        <v>46011</v>
      </c>
      <c r="D13619" t="inlineStr">
        <is>
          <t>VÄSTRA GÖTALANDS LÄN</t>
        </is>
      </c>
      <c r="E13619" t="inlineStr">
        <is>
          <t>BENGTSFORS</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57889-2022</t>
        </is>
      </c>
      <c r="B13620" s="1" t="n">
        <v>44900.31049768518</v>
      </c>
      <c r="C13620" s="1" t="n">
        <v>46011</v>
      </c>
      <c r="D13620" t="inlineStr">
        <is>
          <t>VÄSTRA GÖTALANDS LÄN</t>
        </is>
      </c>
      <c r="E13620" t="inlineStr">
        <is>
          <t>TANUM</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9164-2025</t>
        </is>
      </c>
      <c r="B13621" s="1" t="n">
        <v>45714.36677083333</v>
      </c>
      <c r="C13621" s="1" t="n">
        <v>46011</v>
      </c>
      <c r="D13621" t="inlineStr">
        <is>
          <t>VÄSTRA GÖTALANDS LÄN</t>
        </is>
      </c>
      <c r="E13621" t="inlineStr">
        <is>
          <t>DALS-ED</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3030-2025</t>
        </is>
      </c>
      <c r="B13622" s="1" t="n">
        <v>45678.58909722222</v>
      </c>
      <c r="C13622" s="1" t="n">
        <v>46011</v>
      </c>
      <c r="D13622" t="inlineStr">
        <is>
          <t>VÄSTRA GÖTALANDS LÄN</t>
        </is>
      </c>
      <c r="E13622" t="inlineStr">
        <is>
          <t>MARK</t>
        </is>
      </c>
      <c r="F13622" t="inlineStr">
        <is>
          <t>Sveaskog</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28682-2023</t>
        </is>
      </c>
      <c r="B13623" s="1" t="n">
        <v>45103</v>
      </c>
      <c r="C13623" s="1" t="n">
        <v>46011</v>
      </c>
      <c r="D13623" t="inlineStr">
        <is>
          <t>VÄSTRA GÖTALANDS LÄN</t>
        </is>
      </c>
      <c r="E13623" t="inlineStr">
        <is>
          <t>TIDAHOLM</t>
        </is>
      </c>
      <c r="F13623" t="inlineStr">
        <is>
          <t>Kyrkan</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29066-2024</t>
        </is>
      </c>
      <c r="B13624" s="1" t="n">
        <v>45481.69738425926</v>
      </c>
      <c r="C13624" s="1" t="n">
        <v>46011</v>
      </c>
      <c r="D13624" t="inlineStr">
        <is>
          <t>VÄSTRA GÖTALANDS LÄN</t>
        </is>
      </c>
      <c r="E13624" t="inlineStr">
        <is>
          <t>LILLA EDET</t>
        </is>
      </c>
      <c r="G13624" t="n">
        <v>7.9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29067-2024</t>
        </is>
      </c>
      <c r="B13625" s="1" t="n">
        <v>45481.70640046296</v>
      </c>
      <c r="C13625" s="1" t="n">
        <v>46011</v>
      </c>
      <c r="D13625" t="inlineStr">
        <is>
          <t>VÄSTRA GÖTALANDS LÄN</t>
        </is>
      </c>
      <c r="E13625" t="inlineStr">
        <is>
          <t>LILLA EDET</t>
        </is>
      </c>
      <c r="G13625" t="n">
        <v>10.4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29068-2024</t>
        </is>
      </c>
      <c r="B13626" s="1" t="n">
        <v>45481.71290509259</v>
      </c>
      <c r="C13626" s="1" t="n">
        <v>46011</v>
      </c>
      <c r="D13626" t="inlineStr">
        <is>
          <t>VÄSTRA GÖTALANDS LÄN</t>
        </is>
      </c>
      <c r="E13626" t="inlineStr">
        <is>
          <t>LILLA EDET</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56926-2024</t>
        </is>
      </c>
      <c r="B13627" s="1" t="n">
        <v>45628.60256944445</v>
      </c>
      <c r="C13627" s="1" t="n">
        <v>46011</v>
      </c>
      <c r="D13627" t="inlineStr">
        <is>
          <t>VÄSTRA GÖTALANDS LÄN</t>
        </is>
      </c>
      <c r="E13627" t="inlineStr">
        <is>
          <t>SVENLJUNGA</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20484-2025</t>
        </is>
      </c>
      <c r="B13628" s="1" t="n">
        <v>45775.56006944444</v>
      </c>
      <c r="C13628" s="1" t="n">
        <v>46011</v>
      </c>
      <c r="D13628" t="inlineStr">
        <is>
          <t>VÄSTRA GÖTALANDS LÄN</t>
        </is>
      </c>
      <c r="E13628" t="inlineStr">
        <is>
          <t>ULRICEHAMN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26624-2024</t>
        </is>
      </c>
      <c r="B13629" s="1" t="n">
        <v>45469.76627314815</v>
      </c>
      <c r="C13629" s="1" t="n">
        <v>46011</v>
      </c>
      <c r="D13629" t="inlineStr">
        <is>
          <t>VÄSTRA GÖTALANDS LÄN</t>
        </is>
      </c>
      <c r="E13629" t="inlineStr">
        <is>
          <t>TANUM</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1551-2022</t>
        </is>
      </c>
      <c r="B13630" s="1" t="n">
        <v>44573.61799768519</v>
      </c>
      <c r="C13630" s="1" t="n">
        <v>46011</v>
      </c>
      <c r="D13630" t="inlineStr">
        <is>
          <t>VÄSTRA GÖTALANDS LÄN</t>
        </is>
      </c>
      <c r="E13630" t="inlineStr">
        <is>
          <t>HÄRRYDA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12557-2025</t>
        </is>
      </c>
      <c r="B13631" s="1" t="n">
        <v>45731.44824074074</v>
      </c>
      <c r="C13631" s="1" t="n">
        <v>46011</v>
      </c>
      <c r="D13631" t="inlineStr">
        <is>
          <t>VÄSTRA GÖTALANDS LÄN</t>
        </is>
      </c>
      <c r="E13631" t="inlineStr">
        <is>
          <t>MUNKEDAL</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28034-2023</t>
        </is>
      </c>
      <c r="B13632" s="1" t="n">
        <v>45099.29707175926</v>
      </c>
      <c r="C13632" s="1" t="n">
        <v>46011</v>
      </c>
      <c r="D13632" t="inlineStr">
        <is>
          <t>VÄSTRA GÖTALANDS LÄN</t>
        </is>
      </c>
      <c r="E13632" t="inlineStr">
        <is>
          <t>TRANEMO</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40709-2023</t>
        </is>
      </c>
      <c r="B13633" s="1" t="n">
        <v>45170.62814814815</v>
      </c>
      <c r="C13633" s="1" t="n">
        <v>46011</v>
      </c>
      <c r="D13633" t="inlineStr">
        <is>
          <t>VÄSTRA GÖTALANDS LÄN</t>
        </is>
      </c>
      <c r="E13633" t="inlineStr">
        <is>
          <t>LERUM</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40712-2023</t>
        </is>
      </c>
      <c r="B13634" s="1" t="n">
        <v>45170</v>
      </c>
      <c r="C13634" s="1" t="n">
        <v>46011</v>
      </c>
      <c r="D13634" t="inlineStr">
        <is>
          <t>VÄSTRA GÖTALANDS LÄN</t>
        </is>
      </c>
      <c r="E13634" t="inlineStr">
        <is>
          <t>TRANEMO</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40375-2023</t>
        </is>
      </c>
      <c r="B13635" s="1" t="n">
        <v>45169.74657407407</v>
      </c>
      <c r="C13635" s="1" t="n">
        <v>46011</v>
      </c>
      <c r="D13635" t="inlineStr">
        <is>
          <t>VÄSTRA GÖTALANDS LÄN</t>
        </is>
      </c>
      <c r="E13635" t="inlineStr">
        <is>
          <t>FALKÖPING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38442-2023</t>
        </is>
      </c>
      <c r="B13636" s="1" t="n">
        <v>45162.39668981481</v>
      </c>
      <c r="C13636" s="1" t="n">
        <v>46011</v>
      </c>
      <c r="D13636" t="inlineStr">
        <is>
          <t>VÄSTRA GÖTALANDS LÄN</t>
        </is>
      </c>
      <c r="E13636" t="inlineStr">
        <is>
          <t>LILLA EDET</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37299-2023</t>
        </is>
      </c>
      <c r="B13637" s="1" t="n">
        <v>45156.34189814814</v>
      </c>
      <c r="C13637" s="1" t="n">
        <v>46011</v>
      </c>
      <c r="D13637" t="inlineStr">
        <is>
          <t>VÄSTRA GÖTALANDS LÄN</t>
        </is>
      </c>
      <c r="E13637" t="inlineStr">
        <is>
          <t>TIDAHOLM</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60472-2023</t>
        </is>
      </c>
      <c r="B13638" s="1" t="n">
        <v>45259.59259259259</v>
      </c>
      <c r="C13638" s="1" t="n">
        <v>46011</v>
      </c>
      <c r="D13638" t="inlineStr">
        <is>
          <t>VÄSTRA GÖTALANDS LÄN</t>
        </is>
      </c>
      <c r="E13638" t="inlineStr">
        <is>
          <t>TRANEMO</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55240-2023</t>
        </is>
      </c>
      <c r="B13639" s="1" t="n">
        <v>45237.63732638889</v>
      </c>
      <c r="C13639" s="1" t="n">
        <v>46011</v>
      </c>
      <c r="D13639" t="inlineStr">
        <is>
          <t>VÄSTRA GÖTALANDS LÄN</t>
        </is>
      </c>
      <c r="E13639" t="inlineStr">
        <is>
          <t>VÅRGÅRDA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46893-2023</t>
        </is>
      </c>
      <c r="B13640" s="1" t="n">
        <v>45201.35621527778</v>
      </c>
      <c r="C13640" s="1" t="n">
        <v>46011</v>
      </c>
      <c r="D13640" t="inlineStr">
        <is>
          <t>VÄSTRA GÖTALANDS LÄN</t>
        </is>
      </c>
      <c r="E13640" t="inlineStr">
        <is>
          <t>MARIESTAD</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616-2025</t>
        </is>
      </c>
      <c r="B13641" s="1" t="n">
        <v>45664.60969907408</v>
      </c>
      <c r="C13641" s="1" t="n">
        <v>46011</v>
      </c>
      <c r="D13641" t="inlineStr">
        <is>
          <t>VÄSTRA GÖTALANDS LÄN</t>
        </is>
      </c>
      <c r="E13641" t="inlineStr">
        <is>
          <t>VÅRGÅRDA</t>
        </is>
      </c>
      <c r="G13641" t="n">
        <v>10</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24860-2022</t>
        </is>
      </c>
      <c r="B13642" s="1" t="n">
        <v>44728</v>
      </c>
      <c r="C13642" s="1" t="n">
        <v>46011</v>
      </c>
      <c r="D13642" t="inlineStr">
        <is>
          <t>VÄSTRA GÖTALANDS LÄN</t>
        </is>
      </c>
      <c r="E13642" t="inlineStr">
        <is>
          <t>BORÅS</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55202-2024</t>
        </is>
      </c>
      <c r="B13643" s="1" t="n">
        <v>45621.559375</v>
      </c>
      <c r="C13643" s="1" t="n">
        <v>46011</v>
      </c>
      <c r="D13643" t="inlineStr">
        <is>
          <t>VÄSTRA GÖTALANDS LÄN</t>
        </is>
      </c>
      <c r="E13643" t="inlineStr">
        <is>
          <t>SKARA</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55206-2024</t>
        </is>
      </c>
      <c r="B13644" s="1" t="n">
        <v>45621.56325231482</v>
      </c>
      <c r="C13644" s="1" t="n">
        <v>46011</v>
      </c>
      <c r="D13644" t="inlineStr">
        <is>
          <t>VÄSTRA GÖTALANDS LÄN</t>
        </is>
      </c>
      <c r="E13644" t="inlineStr">
        <is>
          <t>SVENLJUNGA</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55208-2024</t>
        </is>
      </c>
      <c r="B13645" s="1" t="n">
        <v>45621.56410879629</v>
      </c>
      <c r="C13645" s="1" t="n">
        <v>46011</v>
      </c>
      <c r="D13645" t="inlineStr">
        <is>
          <t>VÄSTRA GÖTALANDS LÄN</t>
        </is>
      </c>
      <c r="E13645" t="inlineStr">
        <is>
          <t>BENGTSFORS</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55211-2024</t>
        </is>
      </c>
      <c r="B13646" s="1" t="n">
        <v>45621.56515046296</v>
      </c>
      <c r="C13646" s="1" t="n">
        <v>46011</v>
      </c>
      <c r="D13646" t="inlineStr">
        <is>
          <t>VÄSTRA GÖTALANDS LÄN</t>
        </is>
      </c>
      <c r="E13646" t="inlineStr">
        <is>
          <t>SKARA</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56853-2024</t>
        </is>
      </c>
      <c r="B13647" s="1" t="n">
        <v>45628.53997685185</v>
      </c>
      <c r="C13647" s="1" t="n">
        <v>46011</v>
      </c>
      <c r="D13647" t="inlineStr">
        <is>
          <t>VÄSTRA GÖTALANDS LÄN</t>
        </is>
      </c>
      <c r="E13647" t="inlineStr">
        <is>
          <t>MARIESTAD</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56856-2024</t>
        </is>
      </c>
      <c r="B13648" s="1" t="n">
        <v>45628.54497685185</v>
      </c>
      <c r="C13648" s="1" t="n">
        <v>46011</v>
      </c>
      <c r="D13648" t="inlineStr">
        <is>
          <t>VÄSTRA GÖTALANDS LÄN</t>
        </is>
      </c>
      <c r="E13648" t="inlineStr">
        <is>
          <t>VARA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61252-2024</t>
        </is>
      </c>
      <c r="B13649" s="1" t="n">
        <v>45645.69790509259</v>
      </c>
      <c r="C13649" s="1" t="n">
        <v>46011</v>
      </c>
      <c r="D13649" t="inlineStr">
        <is>
          <t>VÄSTRA GÖTALANDS LÄN</t>
        </is>
      </c>
      <c r="E13649" t="inlineStr">
        <is>
          <t>STRÖMSTAD</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51012-2023</t>
        </is>
      </c>
      <c r="B13650" s="1" t="n">
        <v>45218.57846064815</v>
      </c>
      <c r="C13650" s="1" t="n">
        <v>46011</v>
      </c>
      <c r="D13650" t="inlineStr">
        <is>
          <t>VÄSTRA GÖTALANDS LÄN</t>
        </is>
      </c>
      <c r="E13650" t="inlineStr">
        <is>
          <t>HÄRRYDA</t>
        </is>
      </c>
      <c r="F13650" t="inlineStr">
        <is>
          <t>Sveaskog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21324-2022</t>
        </is>
      </c>
      <c r="B13651" s="1" t="n">
        <v>44705.59672453703</v>
      </c>
      <c r="C13651" s="1" t="n">
        <v>46011</v>
      </c>
      <c r="D13651" t="inlineStr">
        <is>
          <t>VÄSTRA GÖTALANDS LÄN</t>
        </is>
      </c>
      <c r="E13651" t="inlineStr">
        <is>
          <t>ÅMÅL</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56016-2023</t>
        </is>
      </c>
      <c r="B13652" s="1" t="n">
        <v>45240</v>
      </c>
      <c r="C13652" s="1" t="n">
        <v>46011</v>
      </c>
      <c r="D13652" t="inlineStr">
        <is>
          <t>VÄSTRA GÖTALANDS LÄN</t>
        </is>
      </c>
      <c r="E13652" t="inlineStr">
        <is>
          <t>TIDAHOLM</t>
        </is>
      </c>
      <c r="F13652" t="inlineStr">
        <is>
          <t>Kyrkan</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56024-2023</t>
        </is>
      </c>
      <c r="B13653" s="1" t="n">
        <v>45240</v>
      </c>
      <c r="C13653" s="1" t="n">
        <v>46011</v>
      </c>
      <c r="D13653" t="inlineStr">
        <is>
          <t>VÄSTRA GÖTALANDS LÄN</t>
        </is>
      </c>
      <c r="E13653" t="inlineStr">
        <is>
          <t>STRÖMSTAD</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2269-2025</t>
        </is>
      </c>
      <c r="B13654" s="1" t="n">
        <v>45673.54107638889</v>
      </c>
      <c r="C13654" s="1" t="n">
        <v>46011</v>
      </c>
      <c r="D13654" t="inlineStr">
        <is>
          <t>VÄSTRA GÖTALANDS LÄN</t>
        </is>
      </c>
      <c r="E13654" t="inlineStr">
        <is>
          <t>LYSEKIL</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19009-2025</t>
        </is>
      </c>
      <c r="B13655" s="1" t="n">
        <v>45764</v>
      </c>
      <c r="C13655" s="1" t="n">
        <v>46011</v>
      </c>
      <c r="D13655" t="inlineStr">
        <is>
          <t>VÄSTRA GÖTALANDS LÄN</t>
        </is>
      </c>
      <c r="E13655" t="inlineStr">
        <is>
          <t>FALKÖPING</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2282-2025</t>
        </is>
      </c>
      <c r="B13656" s="1" t="n">
        <v>45673.56837962963</v>
      </c>
      <c r="C13656" s="1" t="n">
        <v>46011</v>
      </c>
      <c r="D13656" t="inlineStr">
        <is>
          <t>VÄSTRA GÖTALANDS LÄN</t>
        </is>
      </c>
      <c r="E13656" t="inlineStr">
        <is>
          <t>BORÅS</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2283-2025</t>
        </is>
      </c>
      <c r="B13657" s="1" t="n">
        <v>45673.57033564815</v>
      </c>
      <c r="C13657" s="1" t="n">
        <v>46011</v>
      </c>
      <c r="D13657" t="inlineStr">
        <is>
          <t>VÄSTRA GÖTALANDS LÄN</t>
        </is>
      </c>
      <c r="E13657" t="inlineStr">
        <is>
          <t>DALS-ED</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8146-2023</t>
        </is>
      </c>
      <c r="B13658" s="1" t="n">
        <v>44974</v>
      </c>
      <c r="C13658" s="1" t="n">
        <v>46011</v>
      </c>
      <c r="D13658" t="inlineStr">
        <is>
          <t>VÄSTRA GÖTALANDS LÄN</t>
        </is>
      </c>
      <c r="E13658" t="inlineStr">
        <is>
          <t>MARIESTAD</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22824-2022</t>
        </is>
      </c>
      <c r="B13659" s="1" t="n">
        <v>44715.42887731481</v>
      </c>
      <c r="C13659" s="1" t="n">
        <v>46011</v>
      </c>
      <c r="D13659" t="inlineStr">
        <is>
          <t>VÄSTRA GÖTALANDS LÄN</t>
        </is>
      </c>
      <c r="E13659" t="inlineStr">
        <is>
          <t>ULRICEHAMN</t>
        </is>
      </c>
      <c r="G13659" t="n">
        <v>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13512-2023</t>
        </is>
      </c>
      <c r="B13660" s="1" t="n">
        <v>45006.30878472222</v>
      </c>
      <c r="C13660" s="1" t="n">
        <v>46011</v>
      </c>
      <c r="D13660" t="inlineStr">
        <is>
          <t>VÄSTRA GÖTALANDS LÄN</t>
        </is>
      </c>
      <c r="E13660" t="inlineStr">
        <is>
          <t>ULRICEHAMN</t>
        </is>
      </c>
      <c r="F13660" t="inlineStr">
        <is>
          <t>Kommuner</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49540-2023</t>
        </is>
      </c>
      <c r="B13661" s="1" t="n">
        <v>45211</v>
      </c>
      <c r="C13661" s="1" t="n">
        <v>46011</v>
      </c>
      <c r="D13661" t="inlineStr">
        <is>
          <t>VÄSTRA GÖTALANDS LÄN</t>
        </is>
      </c>
      <c r="E13661" t="inlineStr">
        <is>
          <t>SVENLJUNGA</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48718-2023</t>
        </is>
      </c>
      <c r="B13662" s="1" t="n">
        <v>45208</v>
      </c>
      <c r="C13662" s="1" t="n">
        <v>46011</v>
      </c>
      <c r="D13662" t="inlineStr">
        <is>
          <t>VÄSTRA GÖTALANDS LÄN</t>
        </is>
      </c>
      <c r="E13662" t="inlineStr">
        <is>
          <t>VÅRGÅRDA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5755-2021</t>
        </is>
      </c>
      <c r="B13663" s="1" t="n">
        <v>44230</v>
      </c>
      <c r="C13663" s="1" t="n">
        <v>46011</v>
      </c>
      <c r="D13663" t="inlineStr">
        <is>
          <t>VÄSTRA GÖTALANDS LÄN</t>
        </is>
      </c>
      <c r="E13663" t="inlineStr">
        <is>
          <t>VARA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56832-2023</t>
        </is>
      </c>
      <c r="B13664" s="1" t="n">
        <v>45244</v>
      </c>
      <c r="C13664" s="1" t="n">
        <v>46011</v>
      </c>
      <c r="D13664" t="inlineStr">
        <is>
          <t>VÄSTRA GÖTALANDS LÄN</t>
        </is>
      </c>
      <c r="E13664" t="inlineStr">
        <is>
          <t>HÄRRYDA</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19079-2025</t>
        </is>
      </c>
      <c r="B13665" s="1" t="n">
        <v>45766.61758101852</v>
      </c>
      <c r="C13665" s="1" t="n">
        <v>46011</v>
      </c>
      <c r="D13665" t="inlineStr">
        <is>
          <t>VÄSTRA GÖTALANDS LÄN</t>
        </is>
      </c>
      <c r="E13665" t="inlineStr">
        <is>
          <t>LILLA EDET</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5324-2025</t>
        </is>
      </c>
      <c r="B13666" s="1" t="n">
        <v>45692.5303125</v>
      </c>
      <c r="C13666" s="1" t="n">
        <v>46011</v>
      </c>
      <c r="D13666" t="inlineStr">
        <is>
          <t>VÄSTRA GÖTALANDS LÄN</t>
        </is>
      </c>
      <c r="E13666" t="inlineStr">
        <is>
          <t>LILLA EDET</t>
        </is>
      </c>
      <c r="G13666" t="n">
        <v>5.1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34641-2024</t>
        </is>
      </c>
      <c r="B13667" s="1" t="n">
        <v>45526.47351851852</v>
      </c>
      <c r="C13667" s="1" t="n">
        <v>46011</v>
      </c>
      <c r="D13667" t="inlineStr">
        <is>
          <t>VÄSTRA GÖTALANDS LÄN</t>
        </is>
      </c>
      <c r="E13667" t="inlineStr">
        <is>
          <t>MARK</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60525-2024</t>
        </is>
      </c>
      <c r="B13668" s="1" t="n">
        <v>45643.69276620371</v>
      </c>
      <c r="C13668" s="1" t="n">
        <v>46011</v>
      </c>
      <c r="D13668" t="inlineStr">
        <is>
          <t>VÄSTRA GÖTALANDS LÄN</t>
        </is>
      </c>
      <c r="E13668" t="inlineStr">
        <is>
          <t>BENGTSFORS</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60561-2024</t>
        </is>
      </c>
      <c r="B13669" s="1" t="n">
        <v>45644.2771412037</v>
      </c>
      <c r="C13669" s="1" t="n">
        <v>46011</v>
      </c>
      <c r="D13669" t="inlineStr">
        <is>
          <t>VÄSTRA GÖTALANDS LÄN</t>
        </is>
      </c>
      <c r="E13669" t="inlineStr">
        <is>
          <t>SVENLJUNGA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30137-2023</t>
        </is>
      </c>
      <c r="B13670" s="1" t="n">
        <v>45110.51828703703</v>
      </c>
      <c r="C13670" s="1" t="n">
        <v>46011</v>
      </c>
      <c r="D13670" t="inlineStr">
        <is>
          <t>VÄSTRA GÖTALANDS LÄN</t>
        </is>
      </c>
      <c r="E13670" t="inlineStr">
        <is>
          <t>FALKÖPING</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60432-2022</t>
        </is>
      </c>
      <c r="B13671" s="1" t="n">
        <v>44911</v>
      </c>
      <c r="C13671" s="1" t="n">
        <v>46011</v>
      </c>
      <c r="D13671" t="inlineStr">
        <is>
          <t>VÄSTRA GÖTALANDS LÄN</t>
        </is>
      </c>
      <c r="E13671" t="inlineStr">
        <is>
          <t>HÄRRYDA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3896-2025</t>
        </is>
      </c>
      <c r="B13672" s="1" t="n">
        <v>45684.38349537037</v>
      </c>
      <c r="C13672" s="1" t="n">
        <v>46011</v>
      </c>
      <c r="D13672" t="inlineStr">
        <is>
          <t>VÄSTRA GÖTALANDS LÄN</t>
        </is>
      </c>
      <c r="E13672" t="inlineStr">
        <is>
          <t>BORÅS</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16644-2025</t>
        </is>
      </c>
      <c r="B13673" s="1" t="n">
        <v>45754.37994212963</v>
      </c>
      <c r="C13673" s="1" t="n">
        <v>46011</v>
      </c>
      <c r="D13673" t="inlineStr">
        <is>
          <t>VÄSTRA GÖTALANDS LÄN</t>
        </is>
      </c>
      <c r="E13673" t="inlineStr">
        <is>
          <t>TANUM</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26606-2021</t>
        </is>
      </c>
      <c r="B13674" s="1" t="n">
        <v>44348.63244212963</v>
      </c>
      <c r="C13674" s="1" t="n">
        <v>46011</v>
      </c>
      <c r="D13674" t="inlineStr">
        <is>
          <t>VÄSTRA GÖTALANDS LÄN</t>
        </is>
      </c>
      <c r="E13674" t="inlineStr">
        <is>
          <t>MARK</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18842-2025</t>
        </is>
      </c>
      <c r="B13675" s="1" t="n">
        <v>45764.40886574074</v>
      </c>
      <c r="C13675" s="1" t="n">
        <v>46011</v>
      </c>
      <c r="D13675" t="inlineStr">
        <is>
          <t>VÄSTRA GÖTALANDS LÄN</t>
        </is>
      </c>
      <c r="E13675" t="inlineStr">
        <is>
          <t>FÄRGELANDA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32300-2023</t>
        </is>
      </c>
      <c r="B13676" s="1" t="n">
        <v>45120</v>
      </c>
      <c r="C13676" s="1" t="n">
        <v>46011</v>
      </c>
      <c r="D13676" t="inlineStr">
        <is>
          <t>VÄSTRA GÖTALANDS LÄN</t>
        </is>
      </c>
      <c r="E13676" t="inlineStr">
        <is>
          <t>MUNKEDAL</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6554-2025</t>
        </is>
      </c>
      <c r="B13677" s="1" t="n">
        <v>45699.71619212963</v>
      </c>
      <c r="C13677" s="1" t="n">
        <v>46011</v>
      </c>
      <c r="D13677" t="inlineStr">
        <is>
          <t>VÄSTRA GÖTALANDS LÄN</t>
        </is>
      </c>
      <c r="E13677" t="inlineStr">
        <is>
          <t>SVENLJUNGA</t>
        </is>
      </c>
      <c r="F13677" t="inlineStr">
        <is>
          <t>Kommuner</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16390-2025</t>
        </is>
      </c>
      <c r="B13678" s="1" t="n">
        <v>45751.42887731481</v>
      </c>
      <c r="C13678" s="1" t="n">
        <v>46011</v>
      </c>
      <c r="D13678" t="inlineStr">
        <is>
          <t>VÄSTRA GÖTALANDS LÄN</t>
        </is>
      </c>
      <c r="E13678" t="inlineStr">
        <is>
          <t>SVENLJUNGA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8447-2024</t>
        </is>
      </c>
      <c r="B13679" s="1" t="n">
        <v>45354.64714120371</v>
      </c>
      <c r="C13679" s="1" t="n">
        <v>46011</v>
      </c>
      <c r="D13679" t="inlineStr">
        <is>
          <t>VÄSTRA GÖTALANDS LÄN</t>
        </is>
      </c>
      <c r="E13679" t="inlineStr">
        <is>
          <t>SVENLJUNGA</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58158-2024</t>
        </is>
      </c>
      <c r="B13680" s="1" t="n">
        <v>45632.44810185185</v>
      </c>
      <c r="C13680" s="1" t="n">
        <v>46011</v>
      </c>
      <c r="D13680" t="inlineStr">
        <is>
          <t>VÄSTRA GÖTALANDS LÄN</t>
        </is>
      </c>
      <c r="E13680" t="inlineStr">
        <is>
          <t>BENGTSFORS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49678-2023</t>
        </is>
      </c>
      <c r="B13681" s="1" t="n">
        <v>45212.33935185185</v>
      </c>
      <c r="C13681" s="1" t="n">
        <v>46011</v>
      </c>
      <c r="D13681" t="inlineStr">
        <is>
          <t>VÄSTRA GÖTALANDS LÄN</t>
        </is>
      </c>
      <c r="E13681" t="inlineStr">
        <is>
          <t>VARA</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64102-2023</t>
        </is>
      </c>
      <c r="B13682" s="1" t="n">
        <v>45279</v>
      </c>
      <c r="C13682" s="1" t="n">
        <v>46011</v>
      </c>
      <c r="D13682" t="inlineStr">
        <is>
          <t>VÄSTRA GÖTALANDS LÄN</t>
        </is>
      </c>
      <c r="E13682" t="inlineStr">
        <is>
          <t>UDDEVALLA</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16267-2025</t>
        </is>
      </c>
      <c r="B13683" s="1" t="n">
        <v>45750.82100694445</v>
      </c>
      <c r="C13683" s="1" t="n">
        <v>46011</v>
      </c>
      <c r="D13683" t="inlineStr">
        <is>
          <t>VÄSTRA GÖTALANDS LÄN</t>
        </is>
      </c>
      <c r="E13683" t="inlineStr">
        <is>
          <t>TÖREBODA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2781-2025</t>
        </is>
      </c>
      <c r="B13684" s="1" t="n">
        <v>45677.54344907407</v>
      </c>
      <c r="C13684" s="1" t="n">
        <v>46011</v>
      </c>
      <c r="D13684" t="inlineStr">
        <is>
          <t>VÄSTRA GÖTALANDS LÄN</t>
        </is>
      </c>
      <c r="E13684" t="inlineStr">
        <is>
          <t>VARA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2084-2025</t>
        </is>
      </c>
      <c r="B13685" s="1" t="n">
        <v>45672.58885416666</v>
      </c>
      <c r="C13685" s="1" t="n">
        <v>46011</v>
      </c>
      <c r="D13685" t="inlineStr">
        <is>
          <t>VÄSTRA GÖTALANDS LÄN</t>
        </is>
      </c>
      <c r="E13685" t="inlineStr">
        <is>
          <t>BENGTSFORS</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49563-2023</t>
        </is>
      </c>
      <c r="B13686" s="1" t="n">
        <v>45211</v>
      </c>
      <c r="C13686" s="1" t="n">
        <v>46011</v>
      </c>
      <c r="D13686" t="inlineStr">
        <is>
          <t>VÄSTRA GÖTALANDS LÄN</t>
        </is>
      </c>
      <c r="E13686" t="inlineStr">
        <is>
          <t>MARIESTAD</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62175-2023</t>
        </is>
      </c>
      <c r="B13687" s="1" t="n">
        <v>45267.43561342593</v>
      </c>
      <c r="C13687" s="1" t="n">
        <v>46011</v>
      </c>
      <c r="D13687" t="inlineStr">
        <is>
          <t>VÄSTRA GÖTALANDS LÄN</t>
        </is>
      </c>
      <c r="E13687" t="inlineStr">
        <is>
          <t>HERRLJUNGA</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62179-2023</t>
        </is>
      </c>
      <c r="B13688" s="1" t="n">
        <v>45267</v>
      </c>
      <c r="C13688" s="1" t="n">
        <v>46011</v>
      </c>
      <c r="D13688" t="inlineStr">
        <is>
          <t>VÄSTRA GÖTALANDS LÄN</t>
        </is>
      </c>
      <c r="E13688" t="inlineStr">
        <is>
          <t>HERRLJUNGA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47448-2023</t>
        </is>
      </c>
      <c r="B13689" s="1" t="n">
        <v>45202</v>
      </c>
      <c r="C13689" s="1" t="n">
        <v>46011</v>
      </c>
      <c r="D13689" t="inlineStr">
        <is>
          <t>VÄSTRA GÖTALANDS LÄN</t>
        </is>
      </c>
      <c r="E13689" t="inlineStr">
        <is>
          <t>MARK</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13949-2025</t>
        </is>
      </c>
      <c r="B13690" s="1" t="n">
        <v>45737.73592592592</v>
      </c>
      <c r="C13690" s="1" t="n">
        <v>46011</v>
      </c>
      <c r="D13690" t="inlineStr">
        <is>
          <t>VÄSTRA GÖTALANDS LÄN</t>
        </is>
      </c>
      <c r="E13690" t="inlineStr">
        <is>
          <t>SVENLJUNGA</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14015-2025</t>
        </is>
      </c>
      <c r="B13691" s="1" t="n">
        <v>45740.31795138889</v>
      </c>
      <c r="C13691" s="1" t="n">
        <v>46011</v>
      </c>
      <c r="D13691" t="inlineStr">
        <is>
          <t>VÄSTRA GÖTALANDS LÄN</t>
        </is>
      </c>
      <c r="E13691" t="inlineStr">
        <is>
          <t>FÄRGELANDA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5326-2024</t>
        </is>
      </c>
      <c r="B13692" s="1" t="n">
        <v>45331.41356481481</v>
      </c>
      <c r="C13692" s="1" t="n">
        <v>46011</v>
      </c>
      <c r="D13692" t="inlineStr">
        <is>
          <t>VÄSTRA GÖTALANDS LÄN</t>
        </is>
      </c>
      <c r="E13692" t="inlineStr">
        <is>
          <t>STRÖMSTAD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56639-2024</t>
        </is>
      </c>
      <c r="B13693" s="1" t="n">
        <v>45625.69922453703</v>
      </c>
      <c r="C13693" s="1" t="n">
        <v>46011</v>
      </c>
      <c r="D13693" t="inlineStr">
        <is>
          <t>VÄSTRA GÖTALANDS LÄN</t>
        </is>
      </c>
      <c r="E13693" t="inlineStr">
        <is>
          <t>MUNKEDAL</t>
        </is>
      </c>
      <c r="G13693" t="n">
        <v>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56677-2023</t>
        </is>
      </c>
      <c r="B13694" s="1" t="n">
        <v>45243.9177199074</v>
      </c>
      <c r="C13694" s="1" t="n">
        <v>46011</v>
      </c>
      <c r="D13694" t="inlineStr">
        <is>
          <t>VÄSTRA GÖTALANDS LÄN</t>
        </is>
      </c>
      <c r="E13694" t="inlineStr">
        <is>
          <t>STRÖMSTAD</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16145-2025</t>
        </is>
      </c>
      <c r="B13695" s="1" t="n">
        <v>45750.45947916667</v>
      </c>
      <c r="C13695" s="1" t="n">
        <v>46011</v>
      </c>
      <c r="D13695" t="inlineStr">
        <is>
          <t>VÄSTRA GÖTALANDS LÄN</t>
        </is>
      </c>
      <c r="E13695" t="inlineStr">
        <is>
          <t>ESSUNGA</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11721-2022</t>
        </is>
      </c>
      <c r="B13696" s="1" t="n">
        <v>44634</v>
      </c>
      <c r="C13696" s="1" t="n">
        <v>46011</v>
      </c>
      <c r="D13696" t="inlineStr">
        <is>
          <t>VÄSTRA GÖTALANDS LÄN</t>
        </is>
      </c>
      <c r="E13696" t="inlineStr">
        <is>
          <t>BENGTSFORS</t>
        </is>
      </c>
      <c r="G13696" t="n">
        <v>12.8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69623-2020</t>
        </is>
      </c>
      <c r="B13697" s="1" t="n">
        <v>44195</v>
      </c>
      <c r="C13697" s="1" t="n">
        <v>46011</v>
      </c>
      <c r="D13697" t="inlineStr">
        <is>
          <t>VÄSTRA GÖTALANDS LÄN</t>
        </is>
      </c>
      <c r="E13697" t="inlineStr">
        <is>
          <t>ULRICEHAMN</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21865-2023</t>
        </is>
      </c>
      <c r="B13698" s="1" t="n">
        <v>45068.46453703703</v>
      </c>
      <c r="C13698" s="1" t="n">
        <v>46011</v>
      </c>
      <c r="D13698" t="inlineStr">
        <is>
          <t>VÄSTRA GÖTALANDS LÄN</t>
        </is>
      </c>
      <c r="E13698" t="inlineStr">
        <is>
          <t>DALS-ED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19773-2025</t>
        </is>
      </c>
      <c r="B13699" s="1" t="n">
        <v>45771</v>
      </c>
      <c r="C13699" s="1" t="n">
        <v>46011</v>
      </c>
      <c r="D13699" t="inlineStr">
        <is>
          <t>VÄSTRA GÖTALANDS LÄN</t>
        </is>
      </c>
      <c r="E13699" t="inlineStr">
        <is>
          <t>TROLLHÄTTAN</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11950-2021</t>
        </is>
      </c>
      <c r="B13700" s="1" t="n">
        <v>44266</v>
      </c>
      <c r="C13700" s="1" t="n">
        <v>46011</v>
      </c>
      <c r="D13700" t="inlineStr">
        <is>
          <t>VÄSTRA GÖTALANDS LÄN</t>
        </is>
      </c>
      <c r="E13700" t="inlineStr">
        <is>
          <t>BORÅS</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2853-2024</t>
        </is>
      </c>
      <c r="B13701" s="1" t="n">
        <v>45315.40715277778</v>
      </c>
      <c r="C13701" s="1" t="n">
        <v>46011</v>
      </c>
      <c r="D13701" t="inlineStr">
        <is>
          <t>VÄSTRA GÖTALANDS LÄN</t>
        </is>
      </c>
      <c r="E13701" t="inlineStr">
        <is>
          <t>HERRLJUNGA</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61879-2023</t>
        </is>
      </c>
      <c r="B13702" s="1" t="n">
        <v>45266.42527777778</v>
      </c>
      <c r="C13702" s="1" t="n">
        <v>46011</v>
      </c>
      <c r="D13702" t="inlineStr">
        <is>
          <t>VÄSTRA GÖTALANDS LÄN</t>
        </is>
      </c>
      <c r="E13702" t="inlineStr">
        <is>
          <t>VARA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183-2024</t>
        </is>
      </c>
      <c r="B13703" s="1" t="n">
        <v>45294</v>
      </c>
      <c r="C13703" s="1" t="n">
        <v>46011</v>
      </c>
      <c r="D13703" t="inlineStr">
        <is>
          <t>VÄSTRA GÖTALANDS LÄN</t>
        </is>
      </c>
      <c r="E13703" t="inlineStr">
        <is>
          <t>BORÅS</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186-2024</t>
        </is>
      </c>
      <c r="B13704" s="1" t="n">
        <v>45294</v>
      </c>
      <c r="C13704" s="1" t="n">
        <v>46011</v>
      </c>
      <c r="D13704" t="inlineStr">
        <is>
          <t>VÄSTRA GÖTALANDS LÄN</t>
        </is>
      </c>
      <c r="E13704" t="inlineStr">
        <is>
          <t>BORÅS</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19093-2025</t>
        </is>
      </c>
      <c r="B13705" s="1" t="n">
        <v>45767.49024305555</v>
      </c>
      <c r="C13705" s="1" t="n">
        <v>46011</v>
      </c>
      <c r="D13705" t="inlineStr">
        <is>
          <t>VÄSTRA GÖTALANDS LÄN</t>
        </is>
      </c>
      <c r="E13705" t="inlineStr">
        <is>
          <t>GÖTENE</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19115-2025</t>
        </is>
      </c>
      <c r="B13706" s="1" t="n">
        <v>45768.72082175926</v>
      </c>
      <c r="C13706" s="1" t="n">
        <v>46011</v>
      </c>
      <c r="D13706" t="inlineStr">
        <is>
          <t>VÄSTRA GÖTALANDS LÄN</t>
        </is>
      </c>
      <c r="E13706" t="inlineStr">
        <is>
          <t>GÖTENE</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33148-2023</t>
        </is>
      </c>
      <c r="B13707" s="1" t="n">
        <v>45126</v>
      </c>
      <c r="C13707" s="1" t="n">
        <v>46011</v>
      </c>
      <c r="D13707" t="inlineStr">
        <is>
          <t>VÄSTRA GÖTALANDS LÄN</t>
        </is>
      </c>
      <c r="E13707" t="inlineStr">
        <is>
          <t>BORÅS</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13631-2024</t>
        </is>
      </c>
      <c r="B13708" s="1" t="n">
        <v>45390.41417824074</v>
      </c>
      <c r="C13708" s="1" t="n">
        <v>46011</v>
      </c>
      <c r="D13708" t="inlineStr">
        <is>
          <t>VÄSTRA GÖTALANDS LÄN</t>
        </is>
      </c>
      <c r="E13708" t="inlineStr">
        <is>
          <t>LILLA EDET</t>
        </is>
      </c>
      <c r="G13708" t="n">
        <v>16.4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45486-2023</t>
        </is>
      </c>
      <c r="B13709" s="1" t="n">
        <v>45194</v>
      </c>
      <c r="C13709" s="1" t="n">
        <v>46011</v>
      </c>
      <c r="D13709" t="inlineStr">
        <is>
          <t>VÄSTRA GÖTALANDS LÄN</t>
        </is>
      </c>
      <c r="E13709" t="inlineStr">
        <is>
          <t>BORÅS</t>
        </is>
      </c>
      <c r="G13709" t="n">
        <v>11.7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6842-2025</t>
        </is>
      </c>
      <c r="B13710" s="1" t="n">
        <v>45700.84613425926</v>
      </c>
      <c r="C13710" s="1" t="n">
        <v>46011</v>
      </c>
      <c r="D13710" t="inlineStr">
        <is>
          <t>VÄSTRA GÖTALANDS LÄN</t>
        </is>
      </c>
      <c r="E13710" t="inlineStr">
        <is>
          <t>ALINGSÅS</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552-2025</t>
        </is>
      </c>
      <c r="B13711" s="1" t="n">
        <v>45664.53193287037</v>
      </c>
      <c r="C13711" s="1" t="n">
        <v>46011</v>
      </c>
      <c r="D13711" t="inlineStr">
        <is>
          <t>VÄSTRA GÖTALANDS LÄN</t>
        </is>
      </c>
      <c r="E13711" t="inlineStr">
        <is>
          <t>TRANEMO</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555-2025</t>
        </is>
      </c>
      <c r="B13712" s="1" t="n">
        <v>45664.53425925926</v>
      </c>
      <c r="C13712" s="1" t="n">
        <v>46011</v>
      </c>
      <c r="D13712" t="inlineStr">
        <is>
          <t>VÄSTRA GÖTALANDS LÄN</t>
        </is>
      </c>
      <c r="E13712" t="inlineStr">
        <is>
          <t>BENGTSFORS</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61799-2024</t>
        </is>
      </c>
      <c r="B13713" s="1" t="n">
        <v>45646</v>
      </c>
      <c r="C13713" s="1" t="n">
        <v>46011</v>
      </c>
      <c r="D13713" t="inlineStr">
        <is>
          <t>VÄSTRA GÖTALANDS LÄN</t>
        </is>
      </c>
      <c r="E13713" t="inlineStr">
        <is>
          <t>TROLLHÄTTAN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13659-2024</t>
        </is>
      </c>
      <c r="B13714" s="1" t="n">
        <v>45390.48613425926</v>
      </c>
      <c r="C13714" s="1" t="n">
        <v>46011</v>
      </c>
      <c r="D13714" t="inlineStr">
        <is>
          <t>VÄSTRA GÖTALANDS LÄN</t>
        </is>
      </c>
      <c r="E13714" t="inlineStr">
        <is>
          <t>KARLSBORG</t>
        </is>
      </c>
      <c r="F13714" t="inlineStr">
        <is>
          <t>Övriga Aktiebolag</t>
        </is>
      </c>
      <c r="G13714" t="n">
        <v>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16844-2024</t>
        </is>
      </c>
      <c r="B13715" s="1" t="n">
        <v>45411.49805555555</v>
      </c>
      <c r="C13715" s="1" t="n">
        <v>46011</v>
      </c>
      <c r="D13715" t="inlineStr">
        <is>
          <t>VÄSTRA GÖTALANDS LÄN</t>
        </is>
      </c>
      <c r="E13715" t="inlineStr">
        <is>
          <t>SVENLJUNGA</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16590-2025</t>
        </is>
      </c>
      <c r="B13716" s="1" t="n">
        <v>45752.89317129629</v>
      </c>
      <c r="C13716" s="1" t="n">
        <v>46011</v>
      </c>
      <c r="D13716" t="inlineStr">
        <is>
          <t>VÄSTRA GÖTALANDS LÄN</t>
        </is>
      </c>
      <c r="E13716" t="inlineStr">
        <is>
          <t>VÅRGÅRDA</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16601-2025</t>
        </is>
      </c>
      <c r="B13717" s="1" t="n">
        <v>45753.53189814815</v>
      </c>
      <c r="C13717" s="1" t="n">
        <v>46011</v>
      </c>
      <c r="D13717" t="inlineStr">
        <is>
          <t>VÄSTRA GÖTALANDS LÄN</t>
        </is>
      </c>
      <c r="E13717" t="inlineStr">
        <is>
          <t>ALE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3684-2024</t>
        </is>
      </c>
      <c r="B13718" s="1" t="n">
        <v>45321</v>
      </c>
      <c r="C13718" s="1" t="n">
        <v>46011</v>
      </c>
      <c r="D13718" t="inlineStr">
        <is>
          <t>VÄSTRA GÖTALANDS LÄN</t>
        </is>
      </c>
      <c r="E13718" t="inlineStr">
        <is>
          <t>ULRICEHAMN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57430-2024</t>
        </is>
      </c>
      <c r="B13719" s="1" t="n">
        <v>45629.84854166667</v>
      </c>
      <c r="C13719" s="1" t="n">
        <v>46011</v>
      </c>
      <c r="D13719" t="inlineStr">
        <is>
          <t>VÄSTRA GÖTALANDS LÄN</t>
        </is>
      </c>
      <c r="E13719" t="inlineStr">
        <is>
          <t>BORÅS</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57450-2024</t>
        </is>
      </c>
      <c r="B13720" s="1" t="n">
        <v>45630.27112268518</v>
      </c>
      <c r="C13720" s="1" t="n">
        <v>46011</v>
      </c>
      <c r="D13720" t="inlineStr">
        <is>
          <t>VÄSTRA GÖTALANDS LÄN</t>
        </is>
      </c>
      <c r="E13720" t="inlineStr">
        <is>
          <t>ALINGSÅS</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57454-2024</t>
        </is>
      </c>
      <c r="B13721" s="1" t="n">
        <v>45630</v>
      </c>
      <c r="C13721" s="1" t="n">
        <v>46011</v>
      </c>
      <c r="D13721" t="inlineStr">
        <is>
          <t>VÄSTRA GÖTALANDS LÄN</t>
        </is>
      </c>
      <c r="E13721" t="inlineStr">
        <is>
          <t>KARLSBORG</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48496-2024</t>
        </is>
      </c>
      <c r="B13722" s="1" t="n">
        <v>45592.77157407408</v>
      </c>
      <c r="C13722" s="1" t="n">
        <v>46011</v>
      </c>
      <c r="D13722" t="inlineStr">
        <is>
          <t>VÄSTRA GÖTALANDS LÄN</t>
        </is>
      </c>
      <c r="E13722" t="inlineStr">
        <is>
          <t>VÄNERSBORG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58514-2024</t>
        </is>
      </c>
      <c r="B13723" s="1" t="n">
        <v>45635.42575231481</v>
      </c>
      <c r="C13723" s="1" t="n">
        <v>46011</v>
      </c>
      <c r="D13723" t="inlineStr">
        <is>
          <t>VÄSTRA GÖTALANDS LÄN</t>
        </is>
      </c>
      <c r="E13723" t="inlineStr">
        <is>
          <t>VARA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32193-2023</t>
        </is>
      </c>
      <c r="B13724" s="1" t="n">
        <v>45119.87762731482</v>
      </c>
      <c r="C13724" s="1" t="n">
        <v>46011</v>
      </c>
      <c r="D13724" t="inlineStr">
        <is>
          <t>VÄSTRA GÖTALANDS LÄN</t>
        </is>
      </c>
      <c r="E13724" t="inlineStr">
        <is>
          <t>BORÅS</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2578-2024</t>
        </is>
      </c>
      <c r="B13725" s="1" t="n">
        <v>45313</v>
      </c>
      <c r="C13725" s="1" t="n">
        <v>46011</v>
      </c>
      <c r="D13725" t="inlineStr">
        <is>
          <t>VÄSTRA GÖTALANDS LÄN</t>
        </is>
      </c>
      <c r="E13725" t="inlineStr">
        <is>
          <t>BENGTSFORS</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11979-2025</t>
        </is>
      </c>
      <c r="B13726" s="1" t="n">
        <v>45728.59554398148</v>
      </c>
      <c r="C13726" s="1" t="n">
        <v>46011</v>
      </c>
      <c r="D13726" t="inlineStr">
        <is>
          <t>VÄSTRA GÖTALANDS LÄN</t>
        </is>
      </c>
      <c r="E13726" t="inlineStr">
        <is>
          <t>HERRLJUNGA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3293-2024</t>
        </is>
      </c>
      <c r="B13727" s="1" t="n">
        <v>45317</v>
      </c>
      <c r="C13727" s="1" t="n">
        <v>46011</v>
      </c>
      <c r="D13727" t="inlineStr">
        <is>
          <t>VÄSTRA GÖTALANDS LÄN</t>
        </is>
      </c>
      <c r="E13727" t="inlineStr">
        <is>
          <t>TRANEMO</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10737-2023</t>
        </is>
      </c>
      <c r="B13728" s="1" t="n">
        <v>44984</v>
      </c>
      <c r="C13728" s="1" t="n">
        <v>46011</v>
      </c>
      <c r="D13728" t="inlineStr">
        <is>
          <t>VÄSTRA GÖTALANDS LÄN</t>
        </is>
      </c>
      <c r="E13728" t="inlineStr">
        <is>
          <t>TIBRO</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10810-2023</t>
        </is>
      </c>
      <c r="B13729" s="1" t="n">
        <v>44989.75795138889</v>
      </c>
      <c r="C13729" s="1" t="n">
        <v>46011</v>
      </c>
      <c r="D13729" t="inlineStr">
        <is>
          <t>VÄSTRA GÖTALANDS LÄN</t>
        </is>
      </c>
      <c r="E13729" t="inlineStr">
        <is>
          <t>KUNGÄLV</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13098-2023</t>
        </is>
      </c>
      <c r="B13730" s="1" t="n">
        <v>45002.44510416667</v>
      </c>
      <c r="C13730" s="1" t="n">
        <v>46011</v>
      </c>
      <c r="D13730" t="inlineStr">
        <is>
          <t>VÄSTRA GÖTALANDS LÄN</t>
        </is>
      </c>
      <c r="E13730" t="inlineStr">
        <is>
          <t>ULRICEHAMN</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13108-2023</t>
        </is>
      </c>
      <c r="B13731" s="1" t="n">
        <v>45002</v>
      </c>
      <c r="C13731" s="1" t="n">
        <v>46011</v>
      </c>
      <c r="D13731" t="inlineStr">
        <is>
          <t>VÄSTRA GÖTALANDS LÄN</t>
        </is>
      </c>
      <c r="E13731" t="inlineStr">
        <is>
          <t>HÄRRYDA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23865-2024</t>
        </is>
      </c>
      <c r="B13732" s="1" t="n">
        <v>45455</v>
      </c>
      <c r="C13732" s="1" t="n">
        <v>46011</v>
      </c>
      <c r="D13732" t="inlineStr">
        <is>
          <t>VÄSTRA GÖTALANDS LÄN</t>
        </is>
      </c>
      <c r="E13732" t="inlineStr">
        <is>
          <t>MARK</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1559-2025</t>
        </is>
      </c>
      <c r="B13733" s="1" t="n">
        <v>45667</v>
      </c>
      <c r="C13733" s="1" t="n">
        <v>46011</v>
      </c>
      <c r="D13733" t="inlineStr">
        <is>
          <t>VÄSTRA GÖTALANDS LÄN</t>
        </is>
      </c>
      <c r="E13733" t="inlineStr">
        <is>
          <t>MUNKEDAL</t>
        </is>
      </c>
      <c r="F13733" t="inlineStr">
        <is>
          <t>Övriga Aktiebolag</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1662-2025</t>
        </is>
      </c>
      <c r="B13734" s="1" t="n">
        <v>45670</v>
      </c>
      <c r="C13734" s="1" t="n">
        <v>46011</v>
      </c>
      <c r="D13734" t="inlineStr">
        <is>
          <t>VÄSTRA GÖTALANDS LÄN</t>
        </is>
      </c>
      <c r="E13734" t="inlineStr">
        <is>
          <t>GÖTENE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15667-2023</t>
        </is>
      </c>
      <c r="B13735" s="1" t="n">
        <v>45021</v>
      </c>
      <c r="C13735" s="1" t="n">
        <v>46011</v>
      </c>
      <c r="D13735" t="inlineStr">
        <is>
          <t>VÄSTRA GÖTALANDS LÄN</t>
        </is>
      </c>
      <c r="E13735" t="inlineStr">
        <is>
          <t>MARK</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1385-2025</t>
        </is>
      </c>
      <c r="B13736" s="1" t="n">
        <v>45667.66609953704</v>
      </c>
      <c r="C13736" s="1" t="n">
        <v>46011</v>
      </c>
      <c r="D13736" t="inlineStr">
        <is>
          <t>VÄSTRA GÖTALANDS LÄN</t>
        </is>
      </c>
      <c r="E13736" t="inlineStr">
        <is>
          <t>VÄNERSBORG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39797-2024</t>
        </is>
      </c>
      <c r="B13737" s="1" t="n">
        <v>45553.3358912037</v>
      </c>
      <c r="C13737" s="1" t="n">
        <v>46011</v>
      </c>
      <c r="D13737" t="inlineStr">
        <is>
          <t>VÄSTRA GÖTALANDS LÄN</t>
        </is>
      </c>
      <c r="E13737" t="inlineStr">
        <is>
          <t>TÖREBODA</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29696-2023</t>
        </is>
      </c>
      <c r="B13738" s="1" t="n">
        <v>45107</v>
      </c>
      <c r="C13738" s="1" t="n">
        <v>46011</v>
      </c>
      <c r="D13738" t="inlineStr">
        <is>
          <t>VÄSTRA GÖTALANDS LÄN</t>
        </is>
      </c>
      <c r="E13738" t="inlineStr">
        <is>
          <t>HÄRRYDA</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53087-2023</t>
        </is>
      </c>
      <c r="B13739" s="1" t="n">
        <v>45227</v>
      </c>
      <c r="C13739" s="1" t="n">
        <v>46011</v>
      </c>
      <c r="D13739" t="inlineStr">
        <is>
          <t>VÄSTRA GÖTALANDS LÄN</t>
        </is>
      </c>
      <c r="E13739" t="inlineStr">
        <is>
          <t>ULRICEHAMN</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53089-2023</t>
        </is>
      </c>
      <c r="B13740" s="1" t="n">
        <v>45227.70106481481</v>
      </c>
      <c r="C13740" s="1" t="n">
        <v>46011</v>
      </c>
      <c r="D13740" t="inlineStr">
        <is>
          <t>VÄSTRA GÖTALANDS LÄN</t>
        </is>
      </c>
      <c r="E13740" t="inlineStr">
        <is>
          <t>ULRICEHAMN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30772-2023</t>
        </is>
      </c>
      <c r="B13741" s="1" t="n">
        <v>45112</v>
      </c>
      <c r="C13741" s="1" t="n">
        <v>46011</v>
      </c>
      <c r="D13741" t="inlineStr">
        <is>
          <t>VÄSTRA GÖTALANDS LÄN</t>
        </is>
      </c>
      <c r="E13741" t="inlineStr">
        <is>
          <t>BOLLEBYGD</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62804-2023</t>
        </is>
      </c>
      <c r="B13742" s="1" t="n">
        <v>45271</v>
      </c>
      <c r="C13742" s="1" t="n">
        <v>46011</v>
      </c>
      <c r="D13742" t="inlineStr">
        <is>
          <t>VÄSTRA GÖTALANDS LÄN</t>
        </is>
      </c>
      <c r="E13742" t="inlineStr">
        <is>
          <t>MÖLNDAL</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30970-2023</t>
        </is>
      </c>
      <c r="B13743" s="1" t="n">
        <v>45113.48916666667</v>
      </c>
      <c r="C13743" s="1" t="n">
        <v>46011</v>
      </c>
      <c r="D13743" t="inlineStr">
        <is>
          <t>VÄSTRA GÖTALANDS LÄN</t>
        </is>
      </c>
      <c r="E13743" t="inlineStr">
        <is>
          <t>HJO</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46708-2023</t>
        </is>
      </c>
      <c r="B13744" s="1" t="n">
        <v>45198</v>
      </c>
      <c r="C13744" s="1" t="n">
        <v>46011</v>
      </c>
      <c r="D13744" t="inlineStr">
        <is>
          <t>VÄSTRA GÖTALANDS LÄN</t>
        </is>
      </c>
      <c r="E13744" t="inlineStr">
        <is>
          <t>ORUST</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32788-2023</t>
        </is>
      </c>
      <c r="B13745" s="1" t="n">
        <v>45124.37938657407</v>
      </c>
      <c r="C13745" s="1" t="n">
        <v>46011</v>
      </c>
      <c r="D13745" t="inlineStr">
        <is>
          <t>VÄSTRA GÖTALANDS LÄN</t>
        </is>
      </c>
      <c r="E13745" t="inlineStr">
        <is>
          <t>ULRICEHAMN</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37063-2024</t>
        </is>
      </c>
      <c r="B13746" s="1" t="n">
        <v>45539.45819444444</v>
      </c>
      <c r="C13746" s="1" t="n">
        <v>46011</v>
      </c>
      <c r="D13746" t="inlineStr">
        <is>
          <t>VÄSTRA GÖTALANDS LÄN</t>
        </is>
      </c>
      <c r="E13746" t="inlineStr">
        <is>
          <t>LILLA EDET</t>
        </is>
      </c>
      <c r="G13746" t="n">
        <v>8.800000000000001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34467-2023</t>
        </is>
      </c>
      <c r="B13747" s="1" t="n">
        <v>45139.73614583333</v>
      </c>
      <c r="C13747" s="1" t="n">
        <v>46011</v>
      </c>
      <c r="D13747" t="inlineStr">
        <is>
          <t>VÄSTRA GÖTALANDS LÄN</t>
        </is>
      </c>
      <c r="E13747" t="inlineStr">
        <is>
          <t>DALS-ED</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34525-2023</t>
        </is>
      </c>
      <c r="B13748" s="1" t="n">
        <v>45140.41236111111</v>
      </c>
      <c r="C13748" s="1" t="n">
        <v>46011</v>
      </c>
      <c r="D13748" t="inlineStr">
        <is>
          <t>VÄSTRA GÖTALANDS LÄN</t>
        </is>
      </c>
      <c r="E13748" t="inlineStr">
        <is>
          <t>ÅMÅL</t>
        </is>
      </c>
      <c r="G13748" t="n">
        <v>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32683-2023</t>
        </is>
      </c>
      <c r="B13749" s="1" t="n">
        <v>45112</v>
      </c>
      <c r="C13749" s="1" t="n">
        <v>46011</v>
      </c>
      <c r="D13749" t="inlineStr">
        <is>
          <t>VÄSTRA GÖTALANDS LÄN</t>
        </is>
      </c>
      <c r="E13749" t="inlineStr">
        <is>
          <t>DALS-ED</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24611-2023</t>
        </is>
      </c>
      <c r="B13750" s="1" t="n">
        <v>45084.33306712963</v>
      </c>
      <c r="C13750" s="1" t="n">
        <v>46011</v>
      </c>
      <c r="D13750" t="inlineStr">
        <is>
          <t>VÄSTRA GÖTALANDS LÄN</t>
        </is>
      </c>
      <c r="E13750" t="inlineStr">
        <is>
          <t>VÅRGÅRDA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34767-2023</t>
        </is>
      </c>
      <c r="B13751" s="1" t="n">
        <v>45140</v>
      </c>
      <c r="C13751" s="1" t="n">
        <v>46011</v>
      </c>
      <c r="D13751" t="inlineStr">
        <is>
          <t>VÄSTRA GÖTALANDS LÄN</t>
        </is>
      </c>
      <c r="E13751" t="inlineStr">
        <is>
          <t>ULRICEHAMN</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35426-2023</t>
        </is>
      </c>
      <c r="B13752" s="1" t="n">
        <v>45146.62553240741</v>
      </c>
      <c r="C13752" s="1" t="n">
        <v>46011</v>
      </c>
      <c r="D13752" t="inlineStr">
        <is>
          <t>VÄSTRA GÖTALANDS LÄN</t>
        </is>
      </c>
      <c r="E13752" t="inlineStr">
        <is>
          <t>GULLSPÅNG</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52132-2024</t>
        </is>
      </c>
      <c r="B13753" s="1" t="n">
        <v>45608.4834837963</v>
      </c>
      <c r="C13753" s="1" t="n">
        <v>46011</v>
      </c>
      <c r="D13753" t="inlineStr">
        <is>
          <t>VÄSTRA GÖTALANDS LÄN</t>
        </is>
      </c>
      <c r="E13753" t="inlineStr">
        <is>
          <t>ULRICEHAMN</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52169-2024</t>
        </is>
      </c>
      <c r="B13754" s="1" t="n">
        <v>45608.54731481482</v>
      </c>
      <c r="C13754" s="1" t="n">
        <v>46011</v>
      </c>
      <c r="D13754" t="inlineStr">
        <is>
          <t>VÄSTRA GÖTALANDS LÄN</t>
        </is>
      </c>
      <c r="E13754" t="inlineStr">
        <is>
          <t>TRANEMO</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44398-2024</t>
        </is>
      </c>
      <c r="B13755" s="1" t="n">
        <v>45573.7003125</v>
      </c>
      <c r="C13755" s="1" t="n">
        <v>46011</v>
      </c>
      <c r="D13755" t="inlineStr">
        <is>
          <t>VÄSTRA GÖTALANDS LÄN</t>
        </is>
      </c>
      <c r="E13755" t="inlineStr">
        <is>
          <t>FÄRGELANDA</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30495-2023</t>
        </is>
      </c>
      <c r="B13756" s="1" t="n">
        <v>45102</v>
      </c>
      <c r="C13756" s="1" t="n">
        <v>46011</v>
      </c>
      <c r="D13756" t="inlineStr">
        <is>
          <t>VÄSTRA GÖTALANDS LÄN</t>
        </is>
      </c>
      <c r="E13756" t="inlineStr">
        <is>
          <t>TANUM</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32170-2023</t>
        </is>
      </c>
      <c r="B13757" s="1" t="n">
        <v>45119</v>
      </c>
      <c r="C13757" s="1" t="n">
        <v>46011</v>
      </c>
      <c r="D13757" t="inlineStr">
        <is>
          <t>VÄSTRA GÖTALANDS LÄN</t>
        </is>
      </c>
      <c r="E13757" t="inlineStr">
        <is>
          <t>BORÅS</t>
        </is>
      </c>
      <c r="G13757" t="n">
        <v>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15159-2023</t>
        </is>
      </c>
      <c r="B13758" s="1" t="n">
        <v>45016.58609953704</v>
      </c>
      <c r="C13758" s="1" t="n">
        <v>46011</v>
      </c>
      <c r="D13758" t="inlineStr">
        <is>
          <t>VÄSTRA GÖTALANDS LÄN</t>
        </is>
      </c>
      <c r="E13758" t="inlineStr">
        <is>
          <t>LILLA EDET</t>
        </is>
      </c>
      <c r="F13758" t="inlineStr">
        <is>
          <t>Kommuner</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25554-2023</t>
        </is>
      </c>
      <c r="B13759" s="1" t="n">
        <v>45082</v>
      </c>
      <c r="C13759" s="1" t="n">
        <v>46011</v>
      </c>
      <c r="D13759" t="inlineStr">
        <is>
          <t>VÄSTRA GÖTALANDS LÄN</t>
        </is>
      </c>
      <c r="E13759" t="inlineStr">
        <is>
          <t>GULLSPÅNG</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28984-2024</t>
        </is>
      </c>
      <c r="B13760" s="1" t="n">
        <v>45481</v>
      </c>
      <c r="C13760" s="1" t="n">
        <v>46011</v>
      </c>
      <c r="D13760" t="inlineStr">
        <is>
          <t>VÄSTRA GÖTALANDS LÄN</t>
        </is>
      </c>
      <c r="E13760" t="inlineStr">
        <is>
          <t>TIDAHOLM</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39659-2024</t>
        </is>
      </c>
      <c r="B13761" s="1" t="n">
        <v>45552.4934375</v>
      </c>
      <c r="C13761" s="1" t="n">
        <v>46011</v>
      </c>
      <c r="D13761" t="inlineStr">
        <is>
          <t>VÄSTRA GÖTALANDS LÄN</t>
        </is>
      </c>
      <c r="E13761" t="inlineStr">
        <is>
          <t>TÖREBODA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40722-2024</t>
        </is>
      </c>
      <c r="B13762" s="1" t="n">
        <v>45558.44460648148</v>
      </c>
      <c r="C13762" s="1" t="n">
        <v>46011</v>
      </c>
      <c r="D13762" t="inlineStr">
        <is>
          <t>VÄSTRA GÖTALANDS LÄN</t>
        </is>
      </c>
      <c r="E13762" t="inlineStr">
        <is>
          <t>ORUST</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7111-2023</t>
        </is>
      </c>
      <c r="B13763" s="1" t="n">
        <v>44970</v>
      </c>
      <c r="C13763" s="1" t="n">
        <v>46011</v>
      </c>
      <c r="D13763" t="inlineStr">
        <is>
          <t>VÄSTRA GÖTALANDS LÄN</t>
        </is>
      </c>
      <c r="E13763" t="inlineStr">
        <is>
          <t>ULRICEHAMN</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28332-2023</t>
        </is>
      </c>
      <c r="B13764" s="1" t="n">
        <v>45099.72846064815</v>
      </c>
      <c r="C13764" s="1" t="n">
        <v>46011</v>
      </c>
      <c r="D13764" t="inlineStr">
        <is>
          <t>VÄSTRA GÖTALANDS LÄN</t>
        </is>
      </c>
      <c r="E13764" t="inlineStr">
        <is>
          <t>GÖTENE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8291-2023</t>
        </is>
      </c>
      <c r="B13765" s="1" t="n">
        <v>44974</v>
      </c>
      <c r="C13765" s="1" t="n">
        <v>46011</v>
      </c>
      <c r="D13765" t="inlineStr">
        <is>
          <t>VÄSTRA GÖTALANDS LÄN</t>
        </is>
      </c>
      <c r="E13765" t="inlineStr">
        <is>
          <t>STRÖMSTAD</t>
        </is>
      </c>
      <c r="G13765" t="n">
        <v>17.3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4724-2022</t>
        </is>
      </c>
      <c r="B13766" s="1" t="n">
        <v>44592</v>
      </c>
      <c r="C13766" s="1" t="n">
        <v>46011</v>
      </c>
      <c r="D13766" t="inlineStr">
        <is>
          <t>VÄSTRA GÖTALANDS LÄN</t>
        </is>
      </c>
      <c r="E13766" t="inlineStr">
        <is>
          <t>DALS-ED</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58922-2022</t>
        </is>
      </c>
      <c r="B13767" s="1" t="n">
        <v>44903</v>
      </c>
      <c r="C13767" s="1" t="n">
        <v>46011</v>
      </c>
      <c r="D13767" t="inlineStr">
        <is>
          <t>VÄSTRA GÖTALANDS LÄN</t>
        </is>
      </c>
      <c r="E13767" t="inlineStr">
        <is>
          <t>SVENLJUNGA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10379-2025</t>
        </is>
      </c>
      <c r="B13768" s="1" t="n">
        <v>45720.56641203703</v>
      </c>
      <c r="C13768" s="1" t="n">
        <v>46011</v>
      </c>
      <c r="D13768" t="inlineStr">
        <is>
          <t>VÄSTRA GÖTALANDS LÄN</t>
        </is>
      </c>
      <c r="E13768" t="inlineStr">
        <is>
          <t>SVENLJUNGA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50605-2022</t>
        </is>
      </c>
      <c r="B13769" s="1" t="n">
        <v>44866</v>
      </c>
      <c r="C13769" s="1" t="n">
        <v>46011</v>
      </c>
      <c r="D13769" t="inlineStr">
        <is>
          <t>VÄSTRA GÖTALANDS LÄN</t>
        </is>
      </c>
      <c r="E13769" t="inlineStr">
        <is>
          <t>BORÅS</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58478-2022</t>
        </is>
      </c>
      <c r="B13770" s="1" t="n">
        <v>44902</v>
      </c>
      <c r="C13770" s="1" t="n">
        <v>46011</v>
      </c>
      <c r="D13770" t="inlineStr">
        <is>
          <t>VÄSTRA GÖTALANDS LÄN</t>
        </is>
      </c>
      <c r="E13770" t="inlineStr">
        <is>
          <t>SVENLJUNGA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58481-2022</t>
        </is>
      </c>
      <c r="B13771" s="1" t="n">
        <v>44902</v>
      </c>
      <c r="C13771" s="1" t="n">
        <v>46011</v>
      </c>
      <c r="D13771" t="inlineStr">
        <is>
          <t>VÄSTRA GÖTALANDS LÄN</t>
        </is>
      </c>
      <c r="E13771" t="inlineStr">
        <is>
          <t>HÄRRYDA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9879-2024</t>
        </is>
      </c>
      <c r="B13772" s="1" t="n">
        <v>45363.45396990741</v>
      </c>
      <c r="C13772" s="1" t="n">
        <v>46011</v>
      </c>
      <c r="D13772" t="inlineStr">
        <is>
          <t>VÄSTRA GÖTALANDS LÄN</t>
        </is>
      </c>
      <c r="E13772" t="inlineStr">
        <is>
          <t>ULRICEHAMN</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5569-2023</t>
        </is>
      </c>
      <c r="B13773" s="1" t="n">
        <v>44960.48239583334</v>
      </c>
      <c r="C13773" s="1" t="n">
        <v>46011</v>
      </c>
      <c r="D13773" t="inlineStr">
        <is>
          <t>VÄSTRA GÖTALANDS LÄN</t>
        </is>
      </c>
      <c r="E13773" t="inlineStr">
        <is>
          <t>DALS-ED</t>
        </is>
      </c>
      <c r="G13773" t="n">
        <v>10.4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9651-2023</t>
        </is>
      </c>
      <c r="B13774" s="1" t="n">
        <v>44978</v>
      </c>
      <c r="C13774" s="1" t="n">
        <v>46011</v>
      </c>
      <c r="D13774" t="inlineStr">
        <is>
          <t>VÄSTRA GÖTALANDS LÄN</t>
        </is>
      </c>
      <c r="E13774" t="inlineStr">
        <is>
          <t>TÖREBODA</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911-2025</t>
        </is>
      </c>
      <c r="B13775" s="1" t="n">
        <v>45665.75994212963</v>
      </c>
      <c r="C13775" s="1" t="n">
        <v>46011</v>
      </c>
      <c r="D13775" t="inlineStr">
        <is>
          <t>VÄSTRA GÖTALANDS LÄN</t>
        </is>
      </c>
      <c r="E13775" t="inlineStr">
        <is>
          <t>TRANEMO</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11795-2023</t>
        </is>
      </c>
      <c r="B13776" s="1" t="n">
        <v>44994</v>
      </c>
      <c r="C13776" s="1" t="n">
        <v>46011</v>
      </c>
      <c r="D13776" t="inlineStr">
        <is>
          <t>VÄSTRA GÖTALANDS LÄN</t>
        </is>
      </c>
      <c r="E13776" t="inlineStr">
        <is>
          <t>BOLLEBYGD</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20067-2023</t>
        </is>
      </c>
      <c r="B13777" s="1" t="n">
        <v>45054</v>
      </c>
      <c r="C13777" s="1" t="n">
        <v>46011</v>
      </c>
      <c r="D13777" t="inlineStr">
        <is>
          <t>VÄSTRA GÖTALANDS LÄN</t>
        </is>
      </c>
      <c r="E13777" t="inlineStr">
        <is>
          <t>ALE</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62369-2023</t>
        </is>
      </c>
      <c r="B13778" s="1" t="n">
        <v>45268.30483796296</v>
      </c>
      <c r="C13778" s="1" t="n">
        <v>46011</v>
      </c>
      <c r="D13778" t="inlineStr">
        <is>
          <t>VÄSTRA GÖTALANDS LÄN</t>
        </is>
      </c>
      <c r="E13778" t="inlineStr">
        <is>
          <t>ORUST</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35491-2023</t>
        </is>
      </c>
      <c r="B13779" s="1" t="n">
        <v>45146</v>
      </c>
      <c r="C13779" s="1" t="n">
        <v>46011</v>
      </c>
      <c r="D13779" t="inlineStr">
        <is>
          <t>VÄSTRA GÖTALANDS LÄN</t>
        </is>
      </c>
      <c r="E13779" t="inlineStr">
        <is>
          <t>BOLLEBYGD</t>
        </is>
      </c>
      <c r="G13779" t="n">
        <v>3.5</v>
      </c>
      <c r="H13779" t="n">
        <v>0</v>
      </c>
      <c r="I13779" t="n">
        <v>0</v>
      </c>
      <c r="J13779" t="n">
        <v>0</v>
      </c>
      <c r="K13779" t="n">
        <v>0</v>
      </c>
      <c r="L13779" t="n">
        <v>0</v>
      </c>
      <c r="M13779" t="n">
        <v>0</v>
      </c>
      <c r="N13779" t="n">
        <v>0</v>
      </c>
      <c r="O13779" t="n">
        <v>0</v>
      </c>
      <c r="P13779" t="n">
        <v>0</v>
      </c>
      <c r="Q13779" t="n">
        <v>0</v>
      </c>
      <c r="R13779" s="2" t="inlineStr"/>
      <c r="U13779">
        <f>HYPERLINK("https://klasma.github.io/Logging_1443/knärot/A 35491-2023 karta knärot.png", "A 35491-2023")</f>
        <v/>
      </c>
      <c r="V13779">
        <f>HYPERLINK("https://klasma.github.io/Logging_1443/klagomål/A 35491-2023 FSC-klagomål.docx", "A 35491-2023")</f>
        <v/>
      </c>
      <c r="W13779">
        <f>HYPERLINK("https://klasma.github.io/Logging_1443/klagomålsmail/A 35491-2023 FSC-klagomål mail.docx", "A 35491-2023")</f>
        <v/>
      </c>
      <c r="X13779">
        <f>HYPERLINK("https://klasma.github.io/Logging_1443/tillsyn/A 35491-2023 tillsynsbegäran.docx", "A 35491-2023")</f>
        <v/>
      </c>
      <c r="Y13779">
        <f>HYPERLINK("https://klasma.github.io/Logging_1443/tillsynsmail/A 35491-2023 tillsynsbegäran mail.docx", "A 35491-2023")</f>
        <v/>
      </c>
    </row>
    <row r="13780" ht="15" customHeight="1">
      <c r="A13780" t="inlineStr">
        <is>
          <t>A 53022-2024</t>
        </is>
      </c>
      <c r="B13780" s="1" t="n">
        <v>45611.41010416667</v>
      </c>
      <c r="C13780" s="1" t="n">
        <v>46011</v>
      </c>
      <c r="D13780" t="inlineStr">
        <is>
          <t>VÄSTRA GÖTALANDS LÄN</t>
        </is>
      </c>
      <c r="E13780" t="inlineStr">
        <is>
          <t>MARK</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53026-2024</t>
        </is>
      </c>
      <c r="B13781" s="1" t="n">
        <v>45611.41813657407</v>
      </c>
      <c r="C13781" s="1" t="n">
        <v>46011</v>
      </c>
      <c r="D13781" t="inlineStr">
        <is>
          <t>VÄSTRA GÖTALANDS LÄN</t>
        </is>
      </c>
      <c r="E13781" t="inlineStr">
        <is>
          <t>MARK</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12149-2022</t>
        </is>
      </c>
      <c r="B13782" s="1" t="n">
        <v>44636</v>
      </c>
      <c r="C13782" s="1" t="n">
        <v>46011</v>
      </c>
      <c r="D13782" t="inlineStr">
        <is>
          <t>VÄSTRA GÖTALANDS LÄN</t>
        </is>
      </c>
      <c r="E13782" t="inlineStr">
        <is>
          <t>ULRICEHAMN</t>
        </is>
      </c>
      <c r="G13782" t="n">
        <v>6.3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52226-2023</t>
        </is>
      </c>
      <c r="B13783" s="1" t="n">
        <v>45217</v>
      </c>
      <c r="C13783" s="1" t="n">
        <v>46011</v>
      </c>
      <c r="D13783" t="inlineStr">
        <is>
          <t>VÄSTRA GÖTALANDS LÄN</t>
        </is>
      </c>
      <c r="E13783" t="inlineStr">
        <is>
          <t>BENGTSFORS</t>
        </is>
      </c>
      <c r="F13783" t="inlineStr">
        <is>
          <t>Kyrkan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13511-2024</t>
        </is>
      </c>
      <c r="B13784" s="1" t="n">
        <v>45387</v>
      </c>
      <c r="C13784" s="1" t="n">
        <v>46011</v>
      </c>
      <c r="D13784" t="inlineStr">
        <is>
          <t>VÄSTRA GÖTALANDS LÄN</t>
        </is>
      </c>
      <c r="E13784" t="inlineStr">
        <is>
          <t>VARA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13561-2024</t>
        </is>
      </c>
      <c r="B13785" s="1" t="n">
        <v>45388.79927083333</v>
      </c>
      <c r="C13785" s="1" t="n">
        <v>46011</v>
      </c>
      <c r="D13785" t="inlineStr">
        <is>
          <t>VÄSTRA GÖTALANDS LÄN</t>
        </is>
      </c>
      <c r="E13785" t="inlineStr">
        <is>
          <t>MUNKEDAL</t>
        </is>
      </c>
      <c r="G13785" t="n">
        <v>9.6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52304-2023</t>
        </is>
      </c>
      <c r="B13786" s="1" t="n">
        <v>45224</v>
      </c>
      <c r="C13786" s="1" t="n">
        <v>46011</v>
      </c>
      <c r="D13786" t="inlineStr">
        <is>
          <t>VÄSTRA GÖTALANDS LÄN</t>
        </is>
      </c>
      <c r="E13786" t="inlineStr">
        <is>
          <t>ULRICEHAMN</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6770-2024</t>
        </is>
      </c>
      <c r="B13787" s="1" t="n">
        <v>45342.49490740741</v>
      </c>
      <c r="C13787" s="1" t="n">
        <v>46011</v>
      </c>
      <c r="D13787" t="inlineStr">
        <is>
          <t>VÄSTRA GÖTALANDS LÄN</t>
        </is>
      </c>
      <c r="E13787" t="inlineStr">
        <is>
          <t>MARK</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6772-2024</t>
        </is>
      </c>
      <c r="B13788" s="1" t="n">
        <v>45342.49748842593</v>
      </c>
      <c r="C13788" s="1" t="n">
        <v>46011</v>
      </c>
      <c r="D13788" t="inlineStr">
        <is>
          <t>VÄSTRA GÖTALANDS LÄN</t>
        </is>
      </c>
      <c r="E13788" t="inlineStr">
        <is>
          <t>SVENLJUNGA</t>
        </is>
      </c>
      <c r="F13788" t="inlineStr">
        <is>
          <t>Sveaskog</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6778-2024</t>
        </is>
      </c>
      <c r="B13789" s="1" t="n">
        <v>45342</v>
      </c>
      <c r="C13789" s="1" t="n">
        <v>46011</v>
      </c>
      <c r="D13789" t="inlineStr">
        <is>
          <t>VÄSTRA GÖTALANDS LÄN</t>
        </is>
      </c>
      <c r="E13789" t="inlineStr">
        <is>
          <t>TRANEMO</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12799-2022</t>
        </is>
      </c>
      <c r="B13790" s="1" t="n">
        <v>44642</v>
      </c>
      <c r="C13790" s="1" t="n">
        <v>46011</v>
      </c>
      <c r="D13790" t="inlineStr">
        <is>
          <t>VÄSTRA GÖTALANDS LÄN</t>
        </is>
      </c>
      <c r="E13790" t="inlineStr">
        <is>
          <t>BENGTSFORS</t>
        </is>
      </c>
      <c r="G13790" t="n">
        <v>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35280-2024</t>
        </is>
      </c>
      <c r="B13791" s="1" t="n">
        <v>45530.63609953703</v>
      </c>
      <c r="C13791" s="1" t="n">
        <v>46011</v>
      </c>
      <c r="D13791" t="inlineStr">
        <is>
          <t>VÄSTRA GÖTALANDS LÄN</t>
        </is>
      </c>
      <c r="E13791" t="inlineStr">
        <is>
          <t>SKÖVDE</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1190-2023</t>
        </is>
      </c>
      <c r="B13792" s="1" t="n">
        <v>44935</v>
      </c>
      <c r="C13792" s="1" t="n">
        <v>46011</v>
      </c>
      <c r="D13792" t="inlineStr">
        <is>
          <t>VÄSTRA GÖTALANDS LÄN</t>
        </is>
      </c>
      <c r="E13792" t="inlineStr">
        <is>
          <t>BENGTSFORS</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12668-2021</t>
        </is>
      </c>
      <c r="B13793" s="1" t="n">
        <v>44270</v>
      </c>
      <c r="C13793" s="1" t="n">
        <v>46011</v>
      </c>
      <c r="D13793" t="inlineStr">
        <is>
          <t>VÄSTRA GÖTALANDS LÄN</t>
        </is>
      </c>
      <c r="E13793" t="inlineStr">
        <is>
          <t>VARA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39559-2023</t>
        </is>
      </c>
      <c r="B13794" s="1" t="n">
        <v>45167</v>
      </c>
      <c r="C13794" s="1" t="n">
        <v>46011</v>
      </c>
      <c r="D13794" t="inlineStr">
        <is>
          <t>VÄSTRA GÖTALANDS LÄN</t>
        </is>
      </c>
      <c r="E13794" t="inlineStr">
        <is>
          <t>UDDEVALLA</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45588-2022</t>
        </is>
      </c>
      <c r="B13795" s="1" t="n">
        <v>44845.54098379629</v>
      </c>
      <c r="C13795" s="1" t="n">
        <v>46011</v>
      </c>
      <c r="D13795" t="inlineStr">
        <is>
          <t>VÄSTRA GÖTALANDS LÄN</t>
        </is>
      </c>
      <c r="E13795" t="inlineStr">
        <is>
          <t>TIBRO</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62128-2021</t>
        </is>
      </c>
      <c r="B13796" s="1" t="n">
        <v>44502</v>
      </c>
      <c r="C13796" s="1" t="n">
        <v>46011</v>
      </c>
      <c r="D13796" t="inlineStr">
        <is>
          <t>VÄSTRA GÖTALANDS LÄN</t>
        </is>
      </c>
      <c r="E13796" t="inlineStr">
        <is>
          <t>KUNGÄLV</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62303-2021</t>
        </is>
      </c>
      <c r="B13797" s="1" t="n">
        <v>44503</v>
      </c>
      <c r="C13797" s="1" t="n">
        <v>46011</v>
      </c>
      <c r="D13797" t="inlineStr">
        <is>
          <t>VÄSTRA GÖTALANDS LÄN</t>
        </is>
      </c>
      <c r="E13797" t="inlineStr">
        <is>
          <t>DALS-ED</t>
        </is>
      </c>
      <c r="F13797" t="inlineStr">
        <is>
          <t>Kyrkan</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43228-2024</t>
        </is>
      </c>
      <c r="B13798" s="1" t="n">
        <v>45567.8855787037</v>
      </c>
      <c r="C13798" s="1" t="n">
        <v>46011</v>
      </c>
      <c r="D13798" t="inlineStr">
        <is>
          <t>VÄSTRA GÖTALANDS LÄN</t>
        </is>
      </c>
      <c r="E13798" t="inlineStr">
        <is>
          <t>ORUST</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6500-2025</t>
        </is>
      </c>
      <c r="B13799" s="1" t="n">
        <v>45699.64050925926</v>
      </c>
      <c r="C13799" s="1" t="n">
        <v>46011</v>
      </c>
      <c r="D13799" t="inlineStr">
        <is>
          <t>VÄSTRA GÖTALANDS LÄN</t>
        </is>
      </c>
      <c r="E13799" t="inlineStr">
        <is>
          <t>LYSEKIL</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9711-2023</t>
        </is>
      </c>
      <c r="B13800" s="1" t="n">
        <v>44984</v>
      </c>
      <c r="C13800" s="1" t="n">
        <v>46011</v>
      </c>
      <c r="D13800" t="inlineStr">
        <is>
          <t>VÄSTRA GÖTALANDS LÄN</t>
        </is>
      </c>
      <c r="E13800" t="inlineStr">
        <is>
          <t>ALINGSÅS</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7047-2023</t>
        </is>
      </c>
      <c r="B13801" s="1" t="n">
        <v>44968</v>
      </c>
      <c r="C13801" s="1" t="n">
        <v>46011</v>
      </c>
      <c r="D13801" t="inlineStr">
        <is>
          <t>VÄSTRA GÖTALANDS LÄN</t>
        </is>
      </c>
      <c r="E13801" t="inlineStr">
        <is>
          <t>VÅRGÅRDA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54870-2023</t>
        </is>
      </c>
      <c r="B13802" s="1" t="n">
        <v>45229</v>
      </c>
      <c r="C13802" s="1" t="n">
        <v>46011</v>
      </c>
      <c r="D13802" t="inlineStr">
        <is>
          <t>VÄSTRA GÖTALANDS LÄN</t>
        </is>
      </c>
      <c r="E13802" t="inlineStr">
        <is>
          <t>ÅMÅL</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7088-2023</t>
        </is>
      </c>
      <c r="B13803" s="1" t="n">
        <v>44970</v>
      </c>
      <c r="C13803" s="1" t="n">
        <v>46011</v>
      </c>
      <c r="D13803" t="inlineStr">
        <is>
          <t>VÄSTRA GÖTALANDS LÄN</t>
        </is>
      </c>
      <c r="E13803" t="inlineStr">
        <is>
          <t>TRANEMO</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9338-2023</t>
        </is>
      </c>
      <c r="B13804" s="1" t="n">
        <v>44980</v>
      </c>
      <c r="C13804" s="1" t="n">
        <v>46011</v>
      </c>
      <c r="D13804" t="inlineStr">
        <is>
          <t>VÄSTRA GÖTALANDS LÄN</t>
        </is>
      </c>
      <c r="E13804" t="inlineStr">
        <is>
          <t>HJO</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54943-2023</t>
        </is>
      </c>
      <c r="B13805" s="1" t="n">
        <v>45236</v>
      </c>
      <c r="C13805" s="1" t="n">
        <v>46011</v>
      </c>
      <c r="D13805" t="inlineStr">
        <is>
          <t>VÄSTRA GÖTALANDS LÄN</t>
        </is>
      </c>
      <c r="E13805" t="inlineStr">
        <is>
          <t>ÅMÅL</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6278-2025</t>
        </is>
      </c>
      <c r="B13806" s="1" t="n">
        <v>45698.61976851852</v>
      </c>
      <c r="C13806" s="1" t="n">
        <v>46011</v>
      </c>
      <c r="D13806" t="inlineStr">
        <is>
          <t>VÄSTRA GÖTALANDS LÄN</t>
        </is>
      </c>
      <c r="E13806" t="inlineStr">
        <is>
          <t>DALS-ED</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17260-2021</t>
        </is>
      </c>
      <c r="B13807" s="1" t="n">
        <v>44298</v>
      </c>
      <c r="C13807" s="1" t="n">
        <v>46011</v>
      </c>
      <c r="D13807" t="inlineStr">
        <is>
          <t>VÄSTRA GÖTALANDS LÄN</t>
        </is>
      </c>
      <c r="E13807" t="inlineStr">
        <is>
          <t>ALINGSÅS</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49282-2023</t>
        </is>
      </c>
      <c r="B13808" s="1" t="n">
        <v>45210.70979166667</v>
      </c>
      <c r="C13808" s="1" t="n">
        <v>46011</v>
      </c>
      <c r="D13808" t="inlineStr">
        <is>
          <t>VÄSTRA GÖTALANDS LÄN</t>
        </is>
      </c>
      <c r="E13808" t="inlineStr">
        <is>
          <t>MARK</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49300-2023</t>
        </is>
      </c>
      <c r="B13809" s="1" t="n">
        <v>45210.88792824074</v>
      </c>
      <c r="C13809" s="1" t="n">
        <v>46011</v>
      </c>
      <c r="D13809" t="inlineStr">
        <is>
          <t>VÄSTRA GÖTALANDS LÄN</t>
        </is>
      </c>
      <c r="E13809" t="inlineStr">
        <is>
          <t>SKÖVDE</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59440-2023</t>
        </is>
      </c>
      <c r="B13810" s="1" t="n">
        <v>45254</v>
      </c>
      <c r="C13810" s="1" t="n">
        <v>46011</v>
      </c>
      <c r="D13810" t="inlineStr">
        <is>
          <t>VÄSTRA GÖTALANDS LÄN</t>
        </is>
      </c>
      <c r="E13810" t="inlineStr">
        <is>
          <t>VÅRGÅRDA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28944-2022</t>
        </is>
      </c>
      <c r="B13811" s="1" t="n">
        <v>44749</v>
      </c>
      <c r="C13811" s="1" t="n">
        <v>46011</v>
      </c>
      <c r="D13811" t="inlineStr">
        <is>
          <t>VÄSTRA GÖTALANDS LÄN</t>
        </is>
      </c>
      <c r="E13811" t="inlineStr">
        <is>
          <t>TRANEMO</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42647-2023</t>
        </is>
      </c>
      <c r="B13812" s="1" t="n">
        <v>45181</v>
      </c>
      <c r="C13812" s="1" t="n">
        <v>46011</v>
      </c>
      <c r="D13812" t="inlineStr">
        <is>
          <t>VÄSTRA GÖTALANDS LÄN</t>
        </is>
      </c>
      <c r="E13812" t="inlineStr">
        <is>
          <t>MARIESTAD</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30904-2022</t>
        </is>
      </c>
      <c r="B13813" s="1" t="n">
        <v>44767</v>
      </c>
      <c r="C13813" s="1" t="n">
        <v>46011</v>
      </c>
      <c r="D13813" t="inlineStr">
        <is>
          <t>VÄSTRA GÖTALANDS LÄN</t>
        </is>
      </c>
      <c r="E13813" t="inlineStr">
        <is>
          <t>LIDKÖPING</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54246-2023</t>
        </is>
      </c>
      <c r="B13814" s="1" t="n">
        <v>45232.6234837963</v>
      </c>
      <c r="C13814" s="1" t="n">
        <v>46011</v>
      </c>
      <c r="D13814" t="inlineStr">
        <is>
          <t>VÄSTRA GÖTALANDS LÄN</t>
        </is>
      </c>
      <c r="E13814" t="inlineStr">
        <is>
          <t>BORÅS</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41627-2022</t>
        </is>
      </c>
      <c r="B13815" s="1" t="n">
        <v>44827</v>
      </c>
      <c r="C13815" s="1" t="n">
        <v>46011</v>
      </c>
      <c r="D13815" t="inlineStr">
        <is>
          <t>VÄSTRA GÖTALANDS LÄN</t>
        </is>
      </c>
      <c r="E13815" t="inlineStr">
        <is>
          <t>TÖREBODA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41632-2022</t>
        </is>
      </c>
      <c r="B13816" s="1" t="n">
        <v>44827</v>
      </c>
      <c r="C13816" s="1" t="n">
        <v>46011</v>
      </c>
      <c r="D13816" t="inlineStr">
        <is>
          <t>VÄSTRA GÖTALANDS LÄN</t>
        </is>
      </c>
      <c r="E13816" t="inlineStr">
        <is>
          <t>TÖREBODA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38780-2022</t>
        </is>
      </c>
      <c r="B13817" s="1" t="n">
        <v>44813</v>
      </c>
      <c r="C13817" s="1" t="n">
        <v>46011</v>
      </c>
      <c r="D13817" t="inlineStr">
        <is>
          <t>VÄSTRA GÖTALANDS LÄN</t>
        </is>
      </c>
      <c r="E13817" t="inlineStr">
        <is>
          <t>MARK</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38799-2022</t>
        </is>
      </c>
      <c r="B13818" s="1" t="n">
        <v>44813</v>
      </c>
      <c r="C13818" s="1" t="n">
        <v>46011</v>
      </c>
      <c r="D13818" t="inlineStr">
        <is>
          <t>VÄSTRA GÖTALANDS LÄN</t>
        </is>
      </c>
      <c r="E13818" t="inlineStr">
        <is>
          <t>MARK</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21332-2023</t>
        </is>
      </c>
      <c r="B13819" s="1" t="n">
        <v>45062.91006944444</v>
      </c>
      <c r="C13819" s="1" t="n">
        <v>46011</v>
      </c>
      <c r="D13819" t="inlineStr">
        <is>
          <t>VÄSTRA GÖTALANDS LÄN</t>
        </is>
      </c>
      <c r="E13819" t="inlineStr">
        <is>
          <t>FALKÖPING</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515-2024</t>
        </is>
      </c>
      <c r="B13820" s="1" t="n">
        <v>45299.4187037037</v>
      </c>
      <c r="C13820" s="1" t="n">
        <v>46011</v>
      </c>
      <c r="D13820" t="inlineStr">
        <is>
          <t>VÄSTRA GÖTALANDS LÄN</t>
        </is>
      </c>
      <c r="E13820" t="inlineStr">
        <is>
          <t>SKARA</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36574-2024</t>
        </is>
      </c>
      <c r="B13821" s="1" t="n">
        <v>45537.49616898148</v>
      </c>
      <c r="C13821" s="1" t="n">
        <v>46011</v>
      </c>
      <c r="D13821" t="inlineStr">
        <is>
          <t>VÄSTRA GÖTALANDS LÄN</t>
        </is>
      </c>
      <c r="E13821" t="inlineStr">
        <is>
          <t>BORÅS</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14547-2022</t>
        </is>
      </c>
      <c r="B13822" s="1" t="n">
        <v>44655</v>
      </c>
      <c r="C13822" s="1" t="n">
        <v>46011</v>
      </c>
      <c r="D13822" t="inlineStr">
        <is>
          <t>VÄSTRA GÖTALANDS LÄN</t>
        </is>
      </c>
      <c r="E13822" t="inlineStr">
        <is>
          <t>ORUST</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24528-2021</t>
        </is>
      </c>
      <c r="B13823" s="1" t="n">
        <v>44338.52836805556</v>
      </c>
      <c r="C13823" s="1" t="n">
        <v>46011</v>
      </c>
      <c r="D13823" t="inlineStr">
        <is>
          <t>VÄSTRA GÖTALANDS LÄN</t>
        </is>
      </c>
      <c r="E13823" t="inlineStr">
        <is>
          <t>FÄRGELANDA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63073-2023</t>
        </is>
      </c>
      <c r="B13824" s="1" t="n">
        <v>45273.00841435185</v>
      </c>
      <c r="C13824" s="1" t="n">
        <v>46011</v>
      </c>
      <c r="D13824" t="inlineStr">
        <is>
          <t>VÄSTRA GÖTALANDS LÄN</t>
        </is>
      </c>
      <c r="E13824" t="inlineStr">
        <is>
          <t>VÅRGÅRDA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2199-2024</t>
        </is>
      </c>
      <c r="B13825" s="1" t="n">
        <v>45309</v>
      </c>
      <c r="C13825" s="1" t="n">
        <v>46011</v>
      </c>
      <c r="D13825" t="inlineStr">
        <is>
          <t>VÄSTRA GÖTALANDS LÄN</t>
        </is>
      </c>
      <c r="E13825" t="inlineStr">
        <is>
          <t>ÅMÅL</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38715-2022</t>
        </is>
      </c>
      <c r="B13826" s="1" t="n">
        <v>44815</v>
      </c>
      <c r="C13826" s="1" t="n">
        <v>46011</v>
      </c>
      <c r="D13826" t="inlineStr">
        <is>
          <t>VÄSTRA GÖTALANDS LÄN</t>
        </is>
      </c>
      <c r="E13826" t="inlineStr">
        <is>
          <t>ESSUNGA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5474-2025</t>
        </is>
      </c>
      <c r="B13827" s="1" t="n">
        <v>45693.33061342593</v>
      </c>
      <c r="C13827" s="1" t="n">
        <v>46011</v>
      </c>
      <c r="D13827" t="inlineStr">
        <is>
          <t>VÄSTRA GÖTALANDS LÄN</t>
        </is>
      </c>
      <c r="E13827" t="inlineStr">
        <is>
          <t>SKÖVDE</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5478-2025</t>
        </is>
      </c>
      <c r="B13828" s="1" t="n">
        <v>45693.33496527778</v>
      </c>
      <c r="C13828" s="1" t="n">
        <v>46011</v>
      </c>
      <c r="D13828" t="inlineStr">
        <is>
          <t>VÄSTRA GÖTALANDS LÄN</t>
        </is>
      </c>
      <c r="E13828" t="inlineStr">
        <is>
          <t>SKÖVDE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39558-2024</t>
        </is>
      </c>
      <c r="B13829" s="1" t="n">
        <v>45552.34012731481</v>
      </c>
      <c r="C13829" s="1" t="n">
        <v>46011</v>
      </c>
      <c r="D13829" t="inlineStr">
        <is>
          <t>VÄSTRA GÖTALANDS LÄN</t>
        </is>
      </c>
      <c r="E13829" t="inlineStr">
        <is>
          <t>TÖREBODA</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5479-2025</t>
        </is>
      </c>
      <c r="B13830" s="1" t="n">
        <v>45693.33540509259</v>
      </c>
      <c r="C13830" s="1" t="n">
        <v>46011</v>
      </c>
      <c r="D13830" t="inlineStr">
        <is>
          <t>VÄSTRA GÖTALANDS LÄN</t>
        </is>
      </c>
      <c r="E13830" t="inlineStr">
        <is>
          <t>SKÖVDE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59965-2023</t>
        </is>
      </c>
      <c r="B13831" s="1" t="n">
        <v>45257.74469907407</v>
      </c>
      <c r="C13831" s="1" t="n">
        <v>46011</v>
      </c>
      <c r="D13831" t="inlineStr">
        <is>
          <t>VÄSTRA GÖTALANDS LÄN</t>
        </is>
      </c>
      <c r="E13831" t="inlineStr">
        <is>
          <t>GULLSPÅNG</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56725-2023</t>
        </is>
      </c>
      <c r="B13832" s="1" t="n">
        <v>45244</v>
      </c>
      <c r="C13832" s="1" t="n">
        <v>46011</v>
      </c>
      <c r="D13832" t="inlineStr">
        <is>
          <t>VÄSTRA GÖTALANDS LÄN</t>
        </is>
      </c>
      <c r="E13832" t="inlineStr">
        <is>
          <t>VÄNERSBORG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56739-2023</t>
        </is>
      </c>
      <c r="B13833" s="1" t="n">
        <v>45244</v>
      </c>
      <c r="C13833" s="1" t="n">
        <v>46011</v>
      </c>
      <c r="D13833" t="inlineStr">
        <is>
          <t>VÄSTRA GÖTALANDS LÄN</t>
        </is>
      </c>
      <c r="E13833" t="inlineStr">
        <is>
          <t>VÄNERSBORG</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56740-2023</t>
        </is>
      </c>
      <c r="B13834" s="1" t="n">
        <v>45244.3609375</v>
      </c>
      <c r="C13834" s="1" t="n">
        <v>46011</v>
      </c>
      <c r="D13834" t="inlineStr">
        <is>
          <t>VÄSTRA GÖTALANDS LÄN</t>
        </is>
      </c>
      <c r="E13834" t="inlineStr">
        <is>
          <t>LIDKÖPING</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34938-2022</t>
        </is>
      </c>
      <c r="B13835" s="1" t="n">
        <v>44796</v>
      </c>
      <c r="C13835" s="1" t="n">
        <v>46011</v>
      </c>
      <c r="D13835" t="inlineStr">
        <is>
          <t>VÄSTRA GÖTALANDS LÄN</t>
        </is>
      </c>
      <c r="E13835" t="inlineStr">
        <is>
          <t>HÄRRYDA</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52853-2023</t>
        </is>
      </c>
      <c r="B13836" s="1" t="n">
        <v>45226.44390046296</v>
      </c>
      <c r="C13836" s="1" t="n">
        <v>46011</v>
      </c>
      <c r="D13836" t="inlineStr">
        <is>
          <t>VÄSTRA GÖTALANDS LÄN</t>
        </is>
      </c>
      <c r="E13836" t="inlineStr">
        <is>
          <t>LIDKÖPING</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5987-2024</t>
        </is>
      </c>
      <c r="B13837" s="1" t="n">
        <v>45336</v>
      </c>
      <c r="C13837" s="1" t="n">
        <v>46011</v>
      </c>
      <c r="D13837" t="inlineStr">
        <is>
          <t>VÄSTRA GÖTALANDS LÄN</t>
        </is>
      </c>
      <c r="E13837" t="inlineStr">
        <is>
          <t>HÄRRYDA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19937-2025</t>
        </is>
      </c>
      <c r="B13838" s="1" t="n">
        <v>45771.64229166666</v>
      </c>
      <c r="C13838" s="1" t="n">
        <v>46011</v>
      </c>
      <c r="D13838" t="inlineStr">
        <is>
          <t>VÄSTRA GÖTALANDS LÄN</t>
        </is>
      </c>
      <c r="E13838" t="inlineStr">
        <is>
          <t>BENGTSFORS</t>
        </is>
      </c>
      <c r="G13838" t="n">
        <v>9.199999999999999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8273-2024</t>
        </is>
      </c>
      <c r="B13839" s="1" t="n">
        <v>45352</v>
      </c>
      <c r="C13839" s="1" t="n">
        <v>46011</v>
      </c>
      <c r="D13839" t="inlineStr">
        <is>
          <t>VÄSTRA GÖTALANDS LÄN</t>
        </is>
      </c>
      <c r="E13839" t="inlineStr">
        <is>
          <t>TROLLHÄTTAN</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16991-2024</t>
        </is>
      </c>
      <c r="B13840" s="1" t="n">
        <v>45412.33222222222</v>
      </c>
      <c r="C13840" s="1" t="n">
        <v>46011</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18736-2025</t>
        </is>
      </c>
      <c r="B13841" s="1" t="n">
        <v>45763.68108796296</v>
      </c>
      <c r="C13841" s="1" t="n">
        <v>46011</v>
      </c>
      <c r="D13841" t="inlineStr">
        <is>
          <t>VÄSTRA GÖTALANDS LÄN</t>
        </is>
      </c>
      <c r="E13841" t="inlineStr">
        <is>
          <t>HERRLJUNGA</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17032-2024</t>
        </is>
      </c>
      <c r="B13842" s="1" t="n">
        <v>45412.39409722222</v>
      </c>
      <c r="C13842" s="1" t="n">
        <v>46011</v>
      </c>
      <c r="D13842" t="inlineStr">
        <is>
          <t>VÄSTRA GÖTALANDS LÄN</t>
        </is>
      </c>
      <c r="E13842" t="inlineStr">
        <is>
          <t>BORÅS</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27342-2022</t>
        </is>
      </c>
      <c r="B13843" s="1" t="n">
        <v>44742.39810185185</v>
      </c>
      <c r="C13843" s="1" t="n">
        <v>46011</v>
      </c>
      <c r="D13843" t="inlineStr">
        <is>
          <t>VÄSTRA GÖTALANDS LÄN</t>
        </is>
      </c>
      <c r="E13843" t="inlineStr">
        <is>
          <t>BORÅS</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61508-2023</t>
        </is>
      </c>
      <c r="B13844" s="1" t="n">
        <v>45265.27542824074</v>
      </c>
      <c r="C13844" s="1" t="n">
        <v>46011</v>
      </c>
      <c r="D13844" t="inlineStr">
        <is>
          <t>VÄSTRA GÖTALANDS LÄN</t>
        </is>
      </c>
      <c r="E13844" t="inlineStr">
        <is>
          <t>ULRICEHAMN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61512-2023</t>
        </is>
      </c>
      <c r="B13845" s="1" t="n">
        <v>45265.31153935185</v>
      </c>
      <c r="C13845" s="1" t="n">
        <v>46011</v>
      </c>
      <c r="D13845" t="inlineStr">
        <is>
          <t>VÄSTRA GÖTALANDS LÄN</t>
        </is>
      </c>
      <c r="E13845" t="inlineStr">
        <is>
          <t>ULRICEHAMN</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3430-2024</t>
        </is>
      </c>
      <c r="B13846" s="1" t="n">
        <v>45317</v>
      </c>
      <c r="C13846" s="1" t="n">
        <v>46011</v>
      </c>
      <c r="D13846" t="inlineStr">
        <is>
          <t>VÄSTRA GÖTALANDS LÄN</t>
        </is>
      </c>
      <c r="E13846" t="inlineStr">
        <is>
          <t>UDDEVALLA</t>
        </is>
      </c>
      <c r="F13846" t="inlineStr">
        <is>
          <t>Kyrkan</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3441-2024</t>
        </is>
      </c>
      <c r="B13847" s="1" t="n">
        <v>45320</v>
      </c>
      <c r="C13847" s="1" t="n">
        <v>46011</v>
      </c>
      <c r="D13847" t="inlineStr">
        <is>
          <t>VÄSTRA GÖTALANDS LÄN</t>
        </is>
      </c>
      <c r="E13847" t="inlineStr">
        <is>
          <t>ULRICEHAMN</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3481-2024</t>
        </is>
      </c>
      <c r="B13848" s="1" t="n">
        <v>45320</v>
      </c>
      <c r="C13848" s="1" t="n">
        <v>46011</v>
      </c>
      <c r="D13848" t="inlineStr">
        <is>
          <t>VÄSTRA GÖTALANDS LÄN</t>
        </is>
      </c>
      <c r="E13848" t="inlineStr">
        <is>
          <t>SKÖVDE</t>
        </is>
      </c>
      <c r="G13848" t="n">
        <v>7.7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12332-2022</t>
        </is>
      </c>
      <c r="B13849" s="1" t="n">
        <v>44637.62238425926</v>
      </c>
      <c r="C13849" s="1" t="n">
        <v>46011</v>
      </c>
      <c r="D13849" t="inlineStr">
        <is>
          <t>VÄSTRA GÖTALANDS LÄN</t>
        </is>
      </c>
      <c r="E13849" t="inlineStr">
        <is>
          <t>TIDAHOLM</t>
        </is>
      </c>
      <c r="F13849" t="inlineStr">
        <is>
          <t>Kommuner</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50518-2022</t>
        </is>
      </c>
      <c r="B13850" s="1" t="n">
        <v>44866</v>
      </c>
      <c r="C13850" s="1" t="n">
        <v>46011</v>
      </c>
      <c r="D13850" t="inlineStr">
        <is>
          <t>VÄSTRA GÖTALANDS LÄN</t>
        </is>
      </c>
      <c r="E13850" t="inlineStr">
        <is>
          <t>TRANEMO</t>
        </is>
      </c>
      <c r="F13850" t="inlineStr">
        <is>
          <t>Sveaskog</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55071-2023</t>
        </is>
      </c>
      <c r="B13851" s="1" t="n">
        <v>45237</v>
      </c>
      <c r="C13851" s="1" t="n">
        <v>46011</v>
      </c>
      <c r="D13851" t="inlineStr">
        <is>
          <t>VÄSTRA GÖTALANDS LÄN</t>
        </is>
      </c>
      <c r="E13851" t="inlineStr">
        <is>
          <t>HÄRRYDA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51051-2023</t>
        </is>
      </c>
      <c r="B13852" s="1" t="n">
        <v>45218.63770833334</v>
      </c>
      <c r="C13852" s="1" t="n">
        <v>46011</v>
      </c>
      <c r="D13852" t="inlineStr">
        <is>
          <t>VÄSTRA GÖTALANDS LÄN</t>
        </is>
      </c>
      <c r="E13852" t="inlineStr">
        <is>
          <t>ALINGSÅS</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3430-2025</t>
        </is>
      </c>
      <c r="B13853" s="1" t="n">
        <v>45680.42930555555</v>
      </c>
      <c r="C13853" s="1" t="n">
        <v>46011</v>
      </c>
      <c r="D13853" t="inlineStr">
        <is>
          <t>VÄSTRA GÖTALANDS LÄN</t>
        </is>
      </c>
      <c r="E13853" t="inlineStr">
        <is>
          <t>MARK</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9173-2024</t>
        </is>
      </c>
      <c r="B13854" s="1" t="n">
        <v>45358.42875</v>
      </c>
      <c r="C13854" s="1" t="n">
        <v>46011</v>
      </c>
      <c r="D13854" t="inlineStr">
        <is>
          <t>VÄSTRA GÖTALANDS LÄN</t>
        </is>
      </c>
      <c r="E13854" t="inlineStr">
        <is>
          <t>TRANEMO</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23273-2021</t>
        </is>
      </c>
      <c r="B13855" s="1" t="n">
        <v>44333</v>
      </c>
      <c r="C13855" s="1" t="n">
        <v>46011</v>
      </c>
      <c r="D13855" t="inlineStr">
        <is>
          <t>VÄSTRA GÖTALANDS LÄN</t>
        </is>
      </c>
      <c r="E13855" t="inlineStr">
        <is>
          <t>ALINGSÅS</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15335-2021</t>
        </is>
      </c>
      <c r="B13856" s="1" t="n">
        <v>44284</v>
      </c>
      <c r="C13856" s="1" t="n">
        <v>46011</v>
      </c>
      <c r="D13856" t="inlineStr">
        <is>
          <t>VÄSTRA GÖTALANDS LÄN</t>
        </is>
      </c>
      <c r="E13856" t="inlineStr">
        <is>
          <t>GULLSPÅNG</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52298-2024</t>
        </is>
      </c>
      <c r="B13857" s="1" t="n">
        <v>45608.7362037037</v>
      </c>
      <c r="C13857" s="1" t="n">
        <v>46011</v>
      </c>
      <c r="D13857" t="inlineStr">
        <is>
          <t>VÄSTRA GÖTALANDS LÄN</t>
        </is>
      </c>
      <c r="E13857" t="inlineStr">
        <is>
          <t>ALINGSÅS</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18244-2025</t>
        </is>
      </c>
      <c r="B13858" s="1" t="n">
        <v>45762.32105324074</v>
      </c>
      <c r="C13858" s="1" t="n">
        <v>46011</v>
      </c>
      <c r="D13858" t="inlineStr">
        <is>
          <t>VÄSTRA GÖTALANDS LÄN</t>
        </is>
      </c>
      <c r="E13858" t="inlineStr">
        <is>
          <t>MARIESTAD</t>
        </is>
      </c>
      <c r="F13858" t="inlineStr">
        <is>
          <t>Sveaskog</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18305-2025</t>
        </is>
      </c>
      <c r="B13859" s="1" t="n">
        <v>45762.43462962963</v>
      </c>
      <c r="C13859" s="1" t="n">
        <v>46011</v>
      </c>
      <c r="D13859" t="inlineStr">
        <is>
          <t>VÄSTRA GÖTALANDS LÄN</t>
        </is>
      </c>
      <c r="E13859" t="inlineStr">
        <is>
          <t>BOLLEBYGD</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17562-2025</t>
        </is>
      </c>
      <c r="B13860" s="1" t="n">
        <v>45757.63822916667</v>
      </c>
      <c r="C13860" s="1" t="n">
        <v>46011</v>
      </c>
      <c r="D13860" t="inlineStr">
        <is>
          <t>VÄSTRA GÖTALANDS LÄN</t>
        </is>
      </c>
      <c r="E13860" t="inlineStr">
        <is>
          <t>ULRICEHAMN</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48986-2023</t>
        </is>
      </c>
      <c r="B13861" s="1" t="n">
        <v>45209.64098379629</v>
      </c>
      <c r="C13861" s="1" t="n">
        <v>46011</v>
      </c>
      <c r="D13861" t="inlineStr">
        <is>
          <t>VÄSTRA GÖTALANDS LÄN</t>
        </is>
      </c>
      <c r="E13861" t="inlineStr">
        <is>
          <t>ULRICEHAMN</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48987-2023</t>
        </is>
      </c>
      <c r="B13862" s="1" t="n">
        <v>45209.64253472222</v>
      </c>
      <c r="C13862" s="1" t="n">
        <v>46011</v>
      </c>
      <c r="D13862" t="inlineStr">
        <is>
          <t>VÄSTRA GÖTALANDS LÄN</t>
        </is>
      </c>
      <c r="E13862" t="inlineStr">
        <is>
          <t>TANUM</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8560-2024</t>
        </is>
      </c>
      <c r="B13863" s="1" t="n">
        <v>45355.58215277778</v>
      </c>
      <c r="C13863" s="1" t="n">
        <v>46011</v>
      </c>
      <c r="D13863" t="inlineStr">
        <is>
          <t>VÄSTRA GÖTALANDS LÄN</t>
        </is>
      </c>
      <c r="E13863" t="inlineStr">
        <is>
          <t>ALINGSÅS</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8597-2024</t>
        </is>
      </c>
      <c r="B13864" s="1" t="n">
        <v>45355.651875</v>
      </c>
      <c r="C13864" s="1" t="n">
        <v>46011</v>
      </c>
      <c r="D13864" t="inlineStr">
        <is>
          <t>VÄSTRA GÖTALANDS LÄN</t>
        </is>
      </c>
      <c r="E13864" t="inlineStr">
        <is>
          <t>MARK</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8600-2024</t>
        </is>
      </c>
      <c r="B13865" s="1" t="n">
        <v>45355.66673611111</v>
      </c>
      <c r="C13865" s="1" t="n">
        <v>46011</v>
      </c>
      <c r="D13865" t="inlineStr">
        <is>
          <t>VÄSTRA GÖTALANDS LÄN</t>
        </is>
      </c>
      <c r="E13865" t="inlineStr">
        <is>
          <t>TANUM</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55974-2024</t>
        </is>
      </c>
      <c r="B13866" s="1" t="n">
        <v>45623</v>
      </c>
      <c r="C13866" s="1" t="n">
        <v>46011</v>
      </c>
      <c r="D13866" t="inlineStr">
        <is>
          <t>VÄSTRA GÖTALANDS LÄN</t>
        </is>
      </c>
      <c r="E13866" t="inlineStr">
        <is>
          <t>LIDKÖPING</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45110-2022</t>
        </is>
      </c>
      <c r="B13867" s="1" t="n">
        <v>44843.6315625</v>
      </c>
      <c r="C13867" s="1" t="n">
        <v>46011</v>
      </c>
      <c r="D13867" t="inlineStr">
        <is>
          <t>VÄSTRA GÖTALANDS LÄN</t>
        </is>
      </c>
      <c r="E13867" t="inlineStr">
        <is>
          <t>MARIESTAD</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550-2024</t>
        </is>
      </c>
      <c r="B13868" s="1" t="n">
        <v>45299</v>
      </c>
      <c r="C13868" s="1" t="n">
        <v>46011</v>
      </c>
      <c r="D13868" t="inlineStr">
        <is>
          <t>VÄSTRA GÖTALANDS LÄN</t>
        </is>
      </c>
      <c r="E13868" t="inlineStr">
        <is>
          <t>LILLA EDET</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44878-2023</t>
        </is>
      </c>
      <c r="B13869" s="1" t="n">
        <v>45187</v>
      </c>
      <c r="C13869" s="1" t="n">
        <v>46011</v>
      </c>
      <c r="D13869" t="inlineStr">
        <is>
          <t>VÄSTRA GÖTALANDS LÄN</t>
        </is>
      </c>
      <c r="E13869" t="inlineStr">
        <is>
          <t>FALKÖPING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790-2024</t>
        </is>
      </c>
      <c r="B13870" s="1" t="n">
        <v>45300</v>
      </c>
      <c r="C13870" s="1" t="n">
        <v>46011</v>
      </c>
      <c r="D13870" t="inlineStr">
        <is>
          <t>VÄSTRA GÖTALANDS LÄN</t>
        </is>
      </c>
      <c r="E13870" t="inlineStr">
        <is>
          <t>LERUM</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983-2023</t>
        </is>
      </c>
      <c r="B13871" s="1" t="n">
        <v>44935.3791550926</v>
      </c>
      <c r="C13871" s="1" t="n">
        <v>46011</v>
      </c>
      <c r="D13871" t="inlineStr">
        <is>
          <t>VÄSTRA GÖTALANDS LÄN</t>
        </is>
      </c>
      <c r="E13871" t="inlineStr">
        <is>
          <t>MARIESTAD</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46401-2023</t>
        </is>
      </c>
      <c r="B13872" s="1" t="n">
        <v>45197.49450231482</v>
      </c>
      <c r="C13872" s="1" t="n">
        <v>46011</v>
      </c>
      <c r="D13872" t="inlineStr">
        <is>
          <t>VÄSTRA GÖTALANDS LÄN</t>
        </is>
      </c>
      <c r="E13872" t="inlineStr">
        <is>
          <t>SKÖVDE</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35764-2022</t>
        </is>
      </c>
      <c r="B13873" s="1" t="n">
        <v>44800.34206018518</v>
      </c>
      <c r="C13873" s="1" t="n">
        <v>46011</v>
      </c>
      <c r="D13873" t="inlineStr">
        <is>
          <t>VÄSTRA GÖTALANDS LÄN</t>
        </is>
      </c>
      <c r="E13873" t="inlineStr">
        <is>
          <t>ULRICEHAMN</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13437-2024</t>
        </is>
      </c>
      <c r="B13874" s="1" t="n">
        <v>45387.48722222223</v>
      </c>
      <c r="C13874" s="1" t="n">
        <v>46011</v>
      </c>
      <c r="D13874" t="inlineStr">
        <is>
          <t>VÄSTRA GÖTALANDS LÄN</t>
        </is>
      </c>
      <c r="E13874" t="inlineStr">
        <is>
          <t>TANUM</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8330-2024</t>
        </is>
      </c>
      <c r="B13875" s="1" t="n">
        <v>45352.48944444444</v>
      </c>
      <c r="C13875" s="1" t="n">
        <v>46011</v>
      </c>
      <c r="D13875" t="inlineStr">
        <is>
          <t>VÄSTRA GÖTALANDS LÄN</t>
        </is>
      </c>
      <c r="E13875" t="inlineStr">
        <is>
          <t>GÖTENE</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46450-2023</t>
        </is>
      </c>
      <c r="B13876" s="1" t="n">
        <v>45197.59765046297</v>
      </c>
      <c r="C13876" s="1" t="n">
        <v>46011</v>
      </c>
      <c r="D13876" t="inlineStr">
        <is>
          <t>VÄSTRA GÖTALANDS LÄN</t>
        </is>
      </c>
      <c r="E13876" t="inlineStr">
        <is>
          <t>MARK</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11137-2024</t>
        </is>
      </c>
      <c r="B13877" s="1" t="n">
        <v>45371.44770833333</v>
      </c>
      <c r="C13877" s="1" t="n">
        <v>46011</v>
      </c>
      <c r="D13877" t="inlineStr">
        <is>
          <t>VÄSTRA GÖTALANDS LÄN</t>
        </is>
      </c>
      <c r="E13877" t="inlineStr">
        <is>
          <t>MARIESTAD</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14095-2024</t>
        </is>
      </c>
      <c r="B13878" s="1" t="n">
        <v>45392.60607638889</v>
      </c>
      <c r="C13878" s="1" t="n">
        <v>46011</v>
      </c>
      <c r="D13878" t="inlineStr">
        <is>
          <t>VÄSTRA GÖTALANDS LÄN</t>
        </is>
      </c>
      <c r="E13878" t="inlineStr">
        <is>
          <t>MUNKEDAL</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58878-2023</t>
        </is>
      </c>
      <c r="B13879" s="1" t="n">
        <v>45252.47113425926</v>
      </c>
      <c r="C13879" s="1" t="n">
        <v>46011</v>
      </c>
      <c r="D13879" t="inlineStr">
        <is>
          <t>VÄSTRA GÖTALANDS LÄN</t>
        </is>
      </c>
      <c r="E13879" t="inlineStr">
        <is>
          <t>GULLSPÅNG</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17871-2024</t>
        </is>
      </c>
      <c r="B13880" s="1" t="n">
        <v>45419.44590277778</v>
      </c>
      <c r="C13880" s="1" t="n">
        <v>46011</v>
      </c>
      <c r="D13880" t="inlineStr">
        <is>
          <t>VÄSTRA GÖTALANDS LÄN</t>
        </is>
      </c>
      <c r="E13880" t="inlineStr">
        <is>
          <t>VÄNERSBORG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61269-2023</t>
        </is>
      </c>
      <c r="B13881" s="1" t="n">
        <v>45264.49877314815</v>
      </c>
      <c r="C13881" s="1" t="n">
        <v>46011</v>
      </c>
      <c r="D13881" t="inlineStr">
        <is>
          <t>VÄSTRA GÖTALANDS LÄN</t>
        </is>
      </c>
      <c r="E13881" t="inlineStr">
        <is>
          <t>MARK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1604-2024</t>
        </is>
      </c>
      <c r="B13882" s="1" t="n">
        <v>45306.61583333334</v>
      </c>
      <c r="C13882" s="1" t="n">
        <v>46011</v>
      </c>
      <c r="D13882" t="inlineStr">
        <is>
          <t>VÄSTRA GÖTALANDS LÄN</t>
        </is>
      </c>
      <c r="E13882" t="inlineStr">
        <is>
          <t>HERRLJUNGA</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2402-2024</t>
        </is>
      </c>
      <c r="B13883" s="1" t="n">
        <v>45310.7224537037</v>
      </c>
      <c r="C13883" s="1" t="n">
        <v>46011</v>
      </c>
      <c r="D13883" t="inlineStr">
        <is>
          <t>VÄSTRA GÖTALANDS LÄN</t>
        </is>
      </c>
      <c r="E13883" t="inlineStr">
        <is>
          <t>TROLLHÄTTAN</t>
        </is>
      </c>
      <c r="G13883" t="n">
        <v>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31130-2022</t>
        </is>
      </c>
      <c r="B13884" s="1" t="n">
        <v>44770</v>
      </c>
      <c r="C13884" s="1" t="n">
        <v>46011</v>
      </c>
      <c r="D13884" t="inlineStr">
        <is>
          <t>VÄSTRA GÖTALANDS LÄN</t>
        </is>
      </c>
      <c r="E13884" t="inlineStr">
        <is>
          <t>TRANEMO</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16359-2025</t>
        </is>
      </c>
      <c r="B13885" s="1" t="n">
        <v>45751.38976851852</v>
      </c>
      <c r="C13885" s="1" t="n">
        <v>46011</v>
      </c>
      <c r="D13885" t="inlineStr">
        <is>
          <t>VÄSTRA GÖTALANDS LÄN</t>
        </is>
      </c>
      <c r="E13885" t="inlineStr">
        <is>
          <t>ÅMÅL</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56500-2022</t>
        </is>
      </c>
      <c r="B13886" s="1" t="n">
        <v>44893.40965277778</v>
      </c>
      <c r="C13886" s="1" t="n">
        <v>46011</v>
      </c>
      <c r="D13886" t="inlineStr">
        <is>
          <t>VÄSTRA GÖTALANDS LÄN</t>
        </is>
      </c>
      <c r="E13886" t="inlineStr">
        <is>
          <t>HERRLJUNGA</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17405-2021</t>
        </is>
      </c>
      <c r="B13887" s="1" t="n">
        <v>44298</v>
      </c>
      <c r="C13887" s="1" t="n">
        <v>46011</v>
      </c>
      <c r="D13887" t="inlineStr">
        <is>
          <t>VÄSTRA GÖTALANDS LÄN</t>
        </is>
      </c>
      <c r="E13887" t="inlineStr">
        <is>
          <t>BENGTSFORS</t>
        </is>
      </c>
      <c r="F13887" t="inlineStr">
        <is>
          <t>Kyrkan</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8166-2025</t>
        </is>
      </c>
      <c r="B13888" s="1" t="n">
        <v>45708.36219907407</v>
      </c>
      <c r="C13888" s="1" t="n">
        <v>46011</v>
      </c>
      <c r="D13888" t="inlineStr">
        <is>
          <t>VÄSTRA GÖTALANDS LÄN</t>
        </is>
      </c>
      <c r="E13888" t="inlineStr">
        <is>
          <t>HERRLJUNGA</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42675-2023</t>
        </is>
      </c>
      <c r="B13889" s="1" t="n">
        <v>45181.56914351852</v>
      </c>
      <c r="C13889" s="1" t="n">
        <v>46011</v>
      </c>
      <c r="D13889" t="inlineStr">
        <is>
          <t>VÄSTRA GÖTALANDS LÄN</t>
        </is>
      </c>
      <c r="E13889" t="inlineStr">
        <is>
          <t>ULRICEHAMN</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178-2025</t>
        </is>
      </c>
      <c r="B13890" s="1" t="n">
        <v>45659.69072916666</v>
      </c>
      <c r="C13890" s="1" t="n">
        <v>46011</v>
      </c>
      <c r="D13890" t="inlineStr">
        <is>
          <t>VÄSTRA GÖTALANDS LÄN</t>
        </is>
      </c>
      <c r="E13890" t="inlineStr">
        <is>
          <t>TANUM</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50002-2023</t>
        </is>
      </c>
      <c r="B13891" s="1" t="n">
        <v>45215</v>
      </c>
      <c r="C13891" s="1" t="n">
        <v>46011</v>
      </c>
      <c r="D13891" t="inlineStr">
        <is>
          <t>VÄSTRA GÖTALANDS LÄN</t>
        </is>
      </c>
      <c r="E13891" t="inlineStr">
        <is>
          <t>VÄNERSBORG</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17329-2023</t>
        </is>
      </c>
      <c r="B13892" s="1" t="n">
        <v>45035.55924768518</v>
      </c>
      <c r="C13892" s="1" t="n">
        <v>46011</v>
      </c>
      <c r="D13892" t="inlineStr">
        <is>
          <t>VÄSTRA GÖTALANDS LÄN</t>
        </is>
      </c>
      <c r="E13892" t="inlineStr">
        <is>
          <t>BENGTSFORS</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1331-2025</t>
        </is>
      </c>
      <c r="B13893" s="1" t="n">
        <v>45667.57825231482</v>
      </c>
      <c r="C13893" s="1" t="n">
        <v>46011</v>
      </c>
      <c r="D13893" t="inlineStr">
        <is>
          <t>VÄSTRA GÖTALANDS LÄN</t>
        </is>
      </c>
      <c r="E13893" t="inlineStr">
        <is>
          <t>UDDEVALLA</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39621-2024</t>
        </is>
      </c>
      <c r="B13894" s="1" t="n">
        <v>45552.43295138889</v>
      </c>
      <c r="C13894" s="1" t="n">
        <v>46011</v>
      </c>
      <c r="D13894" t="inlineStr">
        <is>
          <t>VÄSTRA GÖTALANDS LÄN</t>
        </is>
      </c>
      <c r="E13894" t="inlineStr">
        <is>
          <t>TÖREBODA</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40189-2024</t>
        </is>
      </c>
      <c r="B13895" s="1" t="n">
        <v>45554.56659722222</v>
      </c>
      <c r="C13895" s="1" t="n">
        <v>46011</v>
      </c>
      <c r="D13895" t="inlineStr">
        <is>
          <t>VÄSTRA GÖTALANDS LÄN</t>
        </is>
      </c>
      <c r="E13895" t="inlineStr">
        <is>
          <t>ÅMÅL</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35113-2021</t>
        </is>
      </c>
      <c r="B13896" s="1" t="n">
        <v>44384.37240740741</v>
      </c>
      <c r="C13896" s="1" t="n">
        <v>46011</v>
      </c>
      <c r="D13896" t="inlineStr">
        <is>
          <t>VÄSTRA GÖTALANDS LÄN</t>
        </is>
      </c>
      <c r="E13896" t="inlineStr">
        <is>
          <t>STRÖMSTAD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14787-2024</t>
        </is>
      </c>
      <c r="B13897" s="1" t="n">
        <v>45397.7650462963</v>
      </c>
      <c r="C13897" s="1" t="n">
        <v>46011</v>
      </c>
      <c r="D13897" t="inlineStr">
        <is>
          <t>VÄSTRA GÖTALANDS LÄN</t>
        </is>
      </c>
      <c r="E13897" t="inlineStr">
        <is>
          <t>VÅRGÅRDA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14789-2024</t>
        </is>
      </c>
      <c r="B13898" s="1" t="n">
        <v>45397.81939814815</v>
      </c>
      <c r="C13898" s="1" t="n">
        <v>46011</v>
      </c>
      <c r="D13898" t="inlineStr">
        <is>
          <t>VÄSTRA GÖTALANDS LÄN</t>
        </is>
      </c>
      <c r="E13898" t="inlineStr">
        <is>
          <t>VÅRGÅRDA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12385-2025</t>
        </is>
      </c>
      <c r="B13899" s="1" t="n">
        <v>45730.38883101852</v>
      </c>
      <c r="C13899" s="1" t="n">
        <v>46011</v>
      </c>
      <c r="D13899" t="inlineStr">
        <is>
          <t>VÄSTRA GÖTALANDS LÄN</t>
        </is>
      </c>
      <c r="E13899" t="inlineStr">
        <is>
          <t>VÄNERSBORG</t>
        </is>
      </c>
      <c r="F13899" t="inlineStr">
        <is>
          <t>Kommuner</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14991-2025</t>
        </is>
      </c>
      <c r="B13900" s="1" t="n">
        <v>45743.60820601852</v>
      </c>
      <c r="C13900" s="1" t="n">
        <v>46011</v>
      </c>
      <c r="D13900" t="inlineStr">
        <is>
          <t>VÄSTRA GÖTALANDS LÄN</t>
        </is>
      </c>
      <c r="E13900" t="inlineStr">
        <is>
          <t>MARK</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19389-2023</t>
        </is>
      </c>
      <c r="B13901" s="1" t="n">
        <v>45049</v>
      </c>
      <c r="C13901" s="1" t="n">
        <v>46011</v>
      </c>
      <c r="D13901" t="inlineStr">
        <is>
          <t>VÄSTRA GÖTALANDS LÄN</t>
        </is>
      </c>
      <c r="E13901" t="inlineStr">
        <is>
          <t>FÄRGELANDA</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13250-2024</t>
        </is>
      </c>
      <c r="B13902" s="1" t="n">
        <v>45386.5759375</v>
      </c>
      <c r="C13902" s="1" t="n">
        <v>46011</v>
      </c>
      <c r="D13902" t="inlineStr">
        <is>
          <t>VÄSTRA GÖTALANDS LÄN</t>
        </is>
      </c>
      <c r="E13902" t="inlineStr">
        <is>
          <t>LYSEKIL</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13279-2024</t>
        </is>
      </c>
      <c r="B13903" s="1" t="n">
        <v>45386</v>
      </c>
      <c r="C13903" s="1" t="n">
        <v>46011</v>
      </c>
      <c r="D13903" t="inlineStr">
        <is>
          <t>VÄSTRA GÖTALANDS LÄN</t>
        </is>
      </c>
      <c r="E13903" t="inlineStr">
        <is>
          <t>GÖTENE</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16352-2025</t>
        </is>
      </c>
      <c r="B13904" s="1" t="n">
        <v>45750</v>
      </c>
      <c r="C13904" s="1" t="n">
        <v>46011</v>
      </c>
      <c r="D13904" t="inlineStr">
        <is>
          <t>VÄSTRA GÖTALANDS LÄN</t>
        </is>
      </c>
      <c r="E13904" t="inlineStr">
        <is>
          <t>MELLERUD</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8738-2024</t>
        </is>
      </c>
      <c r="B13905" s="1" t="n">
        <v>45356.47700231482</v>
      </c>
      <c r="C13905" s="1" t="n">
        <v>46011</v>
      </c>
      <c r="D13905" t="inlineStr">
        <is>
          <t>VÄSTRA GÖTALANDS LÄN</t>
        </is>
      </c>
      <c r="E13905" t="inlineStr">
        <is>
          <t>ULRICEHAMN</t>
        </is>
      </c>
      <c r="G13905" t="n">
        <v>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8781-2024</t>
        </is>
      </c>
      <c r="B13906" s="1" t="n">
        <v>45356</v>
      </c>
      <c r="C13906" s="1" t="n">
        <v>46011</v>
      </c>
      <c r="D13906" t="inlineStr">
        <is>
          <t>VÄSTRA GÖTALANDS LÄN</t>
        </is>
      </c>
      <c r="E13906" t="inlineStr">
        <is>
          <t>SKARA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10732-2024</t>
        </is>
      </c>
      <c r="B13907" s="1" t="n">
        <v>45369</v>
      </c>
      <c r="C13907" s="1" t="n">
        <v>46011</v>
      </c>
      <c r="D13907" t="inlineStr">
        <is>
          <t>VÄSTRA GÖTALANDS LÄN</t>
        </is>
      </c>
      <c r="E13907" t="inlineStr">
        <is>
          <t>GULLSPÅNG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10761-2024</t>
        </is>
      </c>
      <c r="B13908" s="1" t="n">
        <v>45369</v>
      </c>
      <c r="C13908" s="1" t="n">
        <v>46011</v>
      </c>
      <c r="D13908" t="inlineStr">
        <is>
          <t>VÄSTRA GÖTALANDS LÄN</t>
        </is>
      </c>
      <c r="E13908" t="inlineStr">
        <is>
          <t>BENGTSFORS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493-2025</t>
        </is>
      </c>
      <c r="B13909" s="1" t="n">
        <v>45664.46502314815</v>
      </c>
      <c r="C13909" s="1" t="n">
        <v>46011</v>
      </c>
      <c r="D13909" t="inlineStr">
        <is>
          <t>VÄSTRA GÖTALANDS LÄN</t>
        </is>
      </c>
      <c r="E13909" t="inlineStr">
        <is>
          <t>MELLERUD</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1368-2024</t>
        </is>
      </c>
      <c r="B13910" s="1" t="n">
        <v>45303.53072916667</v>
      </c>
      <c r="C13910" s="1" t="n">
        <v>46011</v>
      </c>
      <c r="D13910" t="inlineStr">
        <is>
          <t>VÄSTRA GÖTALANDS LÄN</t>
        </is>
      </c>
      <c r="E13910" t="inlineStr">
        <is>
          <t>HERRLJUNGA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509-2025</t>
        </is>
      </c>
      <c r="B13911" s="1" t="n">
        <v>45664.47153935185</v>
      </c>
      <c r="C13911" s="1" t="n">
        <v>46011</v>
      </c>
      <c r="D13911" t="inlineStr">
        <is>
          <t>VÄSTRA GÖTALANDS LÄN</t>
        </is>
      </c>
      <c r="E13911" t="inlineStr">
        <is>
          <t>MELLERUD</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59144-2023</t>
        </is>
      </c>
      <c r="B13912" s="1" t="n">
        <v>45251</v>
      </c>
      <c r="C13912" s="1" t="n">
        <v>46011</v>
      </c>
      <c r="D13912" t="inlineStr">
        <is>
          <t>VÄSTRA GÖTALANDS LÄN</t>
        </is>
      </c>
      <c r="E13912" t="inlineStr">
        <is>
          <t>UDDEVALLA</t>
        </is>
      </c>
      <c r="F13912" t="inlineStr">
        <is>
          <t>Kyrkan</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62089-2023</t>
        </is>
      </c>
      <c r="B13913" s="1" t="n">
        <v>45266.87113425926</v>
      </c>
      <c r="C13913" s="1" t="n">
        <v>46011</v>
      </c>
      <c r="D13913" t="inlineStr">
        <is>
          <t>VÄSTRA GÖTALANDS LÄN</t>
        </is>
      </c>
      <c r="E13913" t="inlineStr">
        <is>
          <t>MARIESTAD</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48132-2023</t>
        </is>
      </c>
      <c r="B13914" s="1" t="n">
        <v>45205.37854166667</v>
      </c>
      <c r="C13914" s="1" t="n">
        <v>46011</v>
      </c>
      <c r="D13914" t="inlineStr">
        <is>
          <t>VÄSTRA GÖTALANDS LÄN</t>
        </is>
      </c>
      <c r="E13914" t="inlineStr">
        <is>
          <t>UDDEVALLA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29177-2023</t>
        </is>
      </c>
      <c r="B13915" s="1" t="n">
        <v>45105</v>
      </c>
      <c r="C13915" s="1" t="n">
        <v>46011</v>
      </c>
      <c r="D13915" t="inlineStr">
        <is>
          <t>VÄSTRA GÖTALANDS LÄN</t>
        </is>
      </c>
      <c r="E13915" t="inlineStr">
        <is>
          <t>TIDAHOLM</t>
        </is>
      </c>
      <c r="F13915" t="inlineStr">
        <is>
          <t>Sveaskog</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32918-2022</t>
        </is>
      </c>
      <c r="B13916" s="1" t="n">
        <v>44784.62546296296</v>
      </c>
      <c r="C13916" s="1" t="n">
        <v>46011</v>
      </c>
      <c r="D13916" t="inlineStr">
        <is>
          <t>VÄSTRA GÖTALANDS LÄN</t>
        </is>
      </c>
      <c r="E13916" t="inlineStr">
        <is>
          <t>TRANEMO</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41991-2024</t>
        </is>
      </c>
      <c r="B13917" s="1" t="n">
        <v>45561.64265046296</v>
      </c>
      <c r="C13917" s="1" t="n">
        <v>46011</v>
      </c>
      <c r="D13917" t="inlineStr">
        <is>
          <t>VÄSTRA GÖTALANDS LÄN</t>
        </is>
      </c>
      <c r="E13917" t="inlineStr">
        <is>
          <t>MARK</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13975-2023</t>
        </is>
      </c>
      <c r="B13918" s="1" t="n">
        <v>45008</v>
      </c>
      <c r="C13918" s="1" t="n">
        <v>46011</v>
      </c>
      <c r="D13918" t="inlineStr">
        <is>
          <t>VÄSTRA GÖTALANDS LÄN</t>
        </is>
      </c>
      <c r="E13918" t="inlineStr">
        <is>
          <t>LILLA EDET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11208-2025</t>
        </is>
      </c>
      <c r="B13919" s="1" t="n">
        <v>45726.32662037037</v>
      </c>
      <c r="C13919" s="1" t="n">
        <v>46011</v>
      </c>
      <c r="D13919" t="inlineStr">
        <is>
          <t>VÄSTRA GÖTALANDS LÄN</t>
        </is>
      </c>
      <c r="E13919" t="inlineStr">
        <is>
          <t>SVENLJUNGA</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11216-2025</t>
        </is>
      </c>
      <c r="B13920" s="1" t="n">
        <v>45726.33575231482</v>
      </c>
      <c r="C13920" s="1" t="n">
        <v>46011</v>
      </c>
      <c r="D13920" t="inlineStr">
        <is>
          <t>VÄSTRA GÖTALANDS LÄN</t>
        </is>
      </c>
      <c r="E13920" t="inlineStr">
        <is>
          <t>SVENLJUNGA</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11238-2025</t>
        </is>
      </c>
      <c r="B13921" s="1" t="n">
        <v>45726.36733796296</v>
      </c>
      <c r="C13921" s="1" t="n">
        <v>46011</v>
      </c>
      <c r="D13921" t="inlineStr">
        <is>
          <t>VÄSTRA GÖTALANDS LÄN</t>
        </is>
      </c>
      <c r="E13921" t="inlineStr">
        <is>
          <t>SVENLJUNGA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61272-2024</t>
        </is>
      </c>
      <c r="B13922" s="1" t="n">
        <v>45645.74783564815</v>
      </c>
      <c r="C13922" s="1" t="n">
        <v>46011</v>
      </c>
      <c r="D13922" t="inlineStr">
        <is>
          <t>VÄSTRA GÖTALANDS LÄN</t>
        </is>
      </c>
      <c r="E13922" t="inlineStr">
        <is>
          <t>SVENLJUNGA</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706-2025</t>
        </is>
      </c>
      <c r="B13923" s="1" t="n">
        <v>45665.35950231482</v>
      </c>
      <c r="C13923" s="1" t="n">
        <v>46011</v>
      </c>
      <c r="D13923" t="inlineStr">
        <is>
          <t>VÄSTRA GÖTALANDS LÄN</t>
        </is>
      </c>
      <c r="E13923" t="inlineStr">
        <is>
          <t>MARK</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40224-2024</t>
        </is>
      </c>
      <c r="B13924" s="1" t="n">
        <v>45554.59815972222</v>
      </c>
      <c r="C13924" s="1" t="n">
        <v>46011</v>
      </c>
      <c r="D13924" t="inlineStr">
        <is>
          <t>VÄSTRA GÖTALANDS LÄN</t>
        </is>
      </c>
      <c r="E13924" t="inlineStr">
        <is>
          <t>VARA</t>
        </is>
      </c>
      <c r="F13924" t="inlineStr">
        <is>
          <t>Kommuner</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40270-2024</t>
        </is>
      </c>
      <c r="B13925" s="1" t="n">
        <v>45554.64315972223</v>
      </c>
      <c r="C13925" s="1" t="n">
        <v>46011</v>
      </c>
      <c r="D13925" t="inlineStr">
        <is>
          <t>VÄSTRA GÖTALANDS LÄN</t>
        </is>
      </c>
      <c r="E13925" t="inlineStr">
        <is>
          <t>ORUST</t>
        </is>
      </c>
      <c r="G13925" t="n">
        <v>3</v>
      </c>
      <c r="H13925" t="n">
        <v>0</v>
      </c>
      <c r="I13925" t="n">
        <v>0</v>
      </c>
      <c r="J13925" t="n">
        <v>0</v>
      </c>
      <c r="K13925" t="n">
        <v>0</v>
      </c>
      <c r="L13925" t="n">
        <v>0</v>
      </c>
      <c r="M13925" t="n">
        <v>0</v>
      </c>
      <c r="N13925" t="n">
        <v>0</v>
      </c>
      <c r="O13925" t="n">
        <v>0</v>
      </c>
      <c r="P13925" t="n">
        <v>0</v>
      </c>
      <c r="Q13925" t="n">
        <v>0</v>
      </c>
      <c r="R13925" s="2" t="inlineStr"/>
      <c r="U13925">
        <f>HYPERLINK("https://klasma.github.io/Logging_1421/knärot/A 40270-2024 karta knärot.png", "A 40270-2024")</f>
        <v/>
      </c>
      <c r="V13925">
        <f>HYPERLINK("https://klasma.github.io/Logging_1421/klagomål/A 40270-2024 FSC-klagomål.docx", "A 40270-2024")</f>
        <v/>
      </c>
      <c r="W13925">
        <f>HYPERLINK("https://klasma.github.io/Logging_1421/klagomålsmail/A 40270-2024 FSC-klagomål mail.docx", "A 40270-2024")</f>
        <v/>
      </c>
      <c r="X13925">
        <f>HYPERLINK("https://klasma.github.io/Logging_1421/tillsyn/A 40270-2024 tillsynsbegäran.docx", "A 40270-2024")</f>
        <v/>
      </c>
      <c r="Y13925">
        <f>HYPERLINK("https://klasma.github.io/Logging_1421/tillsynsmail/A 40270-2024 tillsynsbegäran mail.docx", "A 40270-2024")</f>
        <v/>
      </c>
    </row>
    <row r="13926" ht="15" customHeight="1">
      <c r="A13926" t="inlineStr">
        <is>
          <t>A 48884-2023</t>
        </is>
      </c>
      <c r="B13926" s="1" t="n">
        <v>45209</v>
      </c>
      <c r="C13926" s="1" t="n">
        <v>46011</v>
      </c>
      <c r="D13926" t="inlineStr">
        <is>
          <t>VÄSTRA GÖTALANDS LÄN</t>
        </is>
      </c>
      <c r="E13926" t="inlineStr">
        <is>
          <t>KARLSBORG</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37746-2023</t>
        </is>
      </c>
      <c r="B13927" s="1" t="n">
        <v>45159</v>
      </c>
      <c r="C13927" s="1" t="n">
        <v>46011</v>
      </c>
      <c r="D13927" t="inlineStr">
        <is>
          <t>VÄSTRA GÖTALANDS LÄN</t>
        </is>
      </c>
      <c r="E13927" t="inlineStr">
        <is>
          <t>HERRLJUNGA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48273-2024</t>
        </is>
      </c>
      <c r="B13928" s="1" t="n">
        <v>45590.43452546297</v>
      </c>
      <c r="C13928" s="1" t="n">
        <v>46011</v>
      </c>
      <c r="D13928" t="inlineStr">
        <is>
          <t>VÄSTRA GÖTALANDS LÄN</t>
        </is>
      </c>
      <c r="E13928" t="inlineStr">
        <is>
          <t>MARIESTAD</t>
        </is>
      </c>
      <c r="F13928" t="inlineStr">
        <is>
          <t>Kyrkan</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58661-2024</t>
        </is>
      </c>
      <c r="B13929" s="1" t="n">
        <v>45635.60556712963</v>
      </c>
      <c r="C13929" s="1" t="n">
        <v>46011</v>
      </c>
      <c r="D13929" t="inlineStr">
        <is>
          <t>VÄSTRA GÖTALANDS LÄN</t>
        </is>
      </c>
      <c r="E13929" t="inlineStr">
        <is>
          <t>TANUM</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58681-2024</t>
        </is>
      </c>
      <c r="B13930" s="1" t="n">
        <v>45635.61482638889</v>
      </c>
      <c r="C13930" s="1" t="n">
        <v>46011</v>
      </c>
      <c r="D13930" t="inlineStr">
        <is>
          <t>VÄSTRA GÖTALANDS LÄN</t>
        </is>
      </c>
      <c r="E13930" t="inlineStr">
        <is>
          <t>TANUM</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45902-2024</t>
        </is>
      </c>
      <c r="B13931" s="1" t="n">
        <v>45580.4344212963</v>
      </c>
      <c r="C13931" s="1" t="n">
        <v>46011</v>
      </c>
      <c r="D13931" t="inlineStr">
        <is>
          <t>VÄSTRA GÖTALANDS LÄN</t>
        </is>
      </c>
      <c r="E13931" t="inlineStr">
        <is>
          <t>UDDEVALLA</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48142-2024</t>
        </is>
      </c>
      <c r="B13932" s="1" t="n">
        <v>45589.66851851852</v>
      </c>
      <c r="C13932" s="1" t="n">
        <v>46011</v>
      </c>
      <c r="D13932" t="inlineStr">
        <is>
          <t>VÄSTRA GÖTALANDS LÄN</t>
        </is>
      </c>
      <c r="E13932" t="inlineStr">
        <is>
          <t>ÅMÅL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3048-2025</t>
        </is>
      </c>
      <c r="B13933" s="1" t="n">
        <v>45678</v>
      </c>
      <c r="C13933" s="1" t="n">
        <v>46011</v>
      </c>
      <c r="D13933" t="inlineStr">
        <is>
          <t>VÄSTRA GÖTALANDS LÄN</t>
        </is>
      </c>
      <c r="E13933" t="inlineStr">
        <is>
          <t>BORÅS</t>
        </is>
      </c>
      <c r="F13933" t="inlineStr">
        <is>
          <t>Kommuner</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3102-2025</t>
        </is>
      </c>
      <c r="B13934" s="1" t="n">
        <v>45678.67545138889</v>
      </c>
      <c r="C13934" s="1" t="n">
        <v>46011</v>
      </c>
      <c r="D13934" t="inlineStr">
        <is>
          <t>VÄSTRA GÖTALANDS LÄN</t>
        </is>
      </c>
      <c r="E13934" t="inlineStr">
        <is>
          <t>HERRLJUNGA</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43885-2024</t>
        </is>
      </c>
      <c r="B13935" s="1" t="n">
        <v>45572.40824074074</v>
      </c>
      <c r="C13935" s="1" t="n">
        <v>46011</v>
      </c>
      <c r="D13935" t="inlineStr">
        <is>
          <t>VÄSTRA GÖTALANDS LÄN</t>
        </is>
      </c>
      <c r="E13935" t="inlineStr">
        <is>
          <t>SVENLJUNGA</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43620-2024</t>
        </is>
      </c>
      <c r="B13936" s="1" t="n">
        <v>45569.481875</v>
      </c>
      <c r="C13936" s="1" t="n">
        <v>46011</v>
      </c>
      <c r="D13936" t="inlineStr">
        <is>
          <t>VÄSTRA GÖTALANDS LÄN</t>
        </is>
      </c>
      <c r="E13936" t="inlineStr">
        <is>
          <t>VARA</t>
        </is>
      </c>
      <c r="F13936" t="inlineStr">
        <is>
          <t>Kyrkan</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34241-2024</t>
        </is>
      </c>
      <c r="B13937" s="1" t="n">
        <v>45524.57997685186</v>
      </c>
      <c r="C13937" s="1" t="n">
        <v>46011</v>
      </c>
      <c r="D13937" t="inlineStr">
        <is>
          <t>VÄSTRA GÖTALANDS LÄN</t>
        </is>
      </c>
      <c r="E13937" t="inlineStr">
        <is>
          <t>FÄRGELANDA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3399-2024</t>
        </is>
      </c>
      <c r="B13938" s="1" t="n">
        <v>45318.60454861111</v>
      </c>
      <c r="C13938" s="1" t="n">
        <v>46011</v>
      </c>
      <c r="D13938" t="inlineStr">
        <is>
          <t>VÄSTRA GÖTALANDS LÄN</t>
        </is>
      </c>
      <c r="E13938" t="inlineStr">
        <is>
          <t>TROLLHÄTTAN</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3408-2024</t>
        </is>
      </c>
      <c r="B13939" s="1" t="n">
        <v>45319</v>
      </c>
      <c r="C13939" s="1" t="n">
        <v>46011</v>
      </c>
      <c r="D13939" t="inlineStr">
        <is>
          <t>VÄSTRA GÖTALANDS LÄN</t>
        </is>
      </c>
      <c r="E13939" t="inlineStr">
        <is>
          <t>LYSEKIL</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55780-2023</t>
        </is>
      </c>
      <c r="B13940" s="1" t="n">
        <v>45239</v>
      </c>
      <c r="C13940" s="1" t="n">
        <v>46011</v>
      </c>
      <c r="D13940" t="inlineStr">
        <is>
          <t>VÄSTRA GÖTALANDS LÄN</t>
        </is>
      </c>
      <c r="E13940" t="inlineStr">
        <is>
          <t>TANUM</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56344-2022</t>
        </is>
      </c>
      <c r="B13941" s="1" t="n">
        <v>44890.6440162037</v>
      </c>
      <c r="C13941" s="1" t="n">
        <v>46011</v>
      </c>
      <c r="D13941" t="inlineStr">
        <is>
          <t>VÄSTRA GÖTALANDS LÄN</t>
        </is>
      </c>
      <c r="E13941" t="inlineStr">
        <is>
          <t>MARIESTAD</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47195-2023</t>
        </is>
      </c>
      <c r="B13942" s="1" t="n">
        <v>45202</v>
      </c>
      <c r="C13942" s="1" t="n">
        <v>46011</v>
      </c>
      <c r="D13942" t="inlineStr">
        <is>
          <t>VÄSTRA GÖTALANDS LÄN</t>
        </is>
      </c>
      <c r="E13942" t="inlineStr">
        <is>
          <t>BENGTSFORS</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10762-2024</t>
        </is>
      </c>
      <c r="B13943" s="1" t="n">
        <v>45369</v>
      </c>
      <c r="C13943" s="1" t="n">
        <v>46011</v>
      </c>
      <c r="D13943" t="inlineStr">
        <is>
          <t>VÄSTRA GÖTALANDS LÄN</t>
        </is>
      </c>
      <c r="E13943" t="inlineStr">
        <is>
          <t>BENGTSFORS</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10767-2024</t>
        </is>
      </c>
      <c r="B13944" s="1" t="n">
        <v>45369.57115740741</v>
      </c>
      <c r="C13944" s="1" t="n">
        <v>46011</v>
      </c>
      <c r="D13944" t="inlineStr">
        <is>
          <t>VÄSTRA GÖTALANDS LÄN</t>
        </is>
      </c>
      <c r="E13944" t="inlineStr">
        <is>
          <t>TROLLHÄTTAN</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1500-2024</t>
        </is>
      </c>
      <c r="B13945" s="1" t="n">
        <v>45306</v>
      </c>
      <c r="C13945" s="1" t="n">
        <v>46011</v>
      </c>
      <c r="D13945" t="inlineStr">
        <is>
          <t>VÄSTRA GÖTALANDS LÄN</t>
        </is>
      </c>
      <c r="E13945" t="inlineStr">
        <is>
          <t>ALE</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11889-2024</t>
        </is>
      </c>
      <c r="B13946" s="1" t="n">
        <v>45376.52688657407</v>
      </c>
      <c r="C13946" s="1" t="n">
        <v>46011</v>
      </c>
      <c r="D13946" t="inlineStr">
        <is>
          <t>VÄSTRA GÖTALANDS LÄN</t>
        </is>
      </c>
      <c r="E13946" t="inlineStr">
        <is>
          <t>GÖTENE</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21180-2024</t>
        </is>
      </c>
      <c r="B13947" s="1" t="n">
        <v>45440.46910879629</v>
      </c>
      <c r="C13947" s="1" t="n">
        <v>46011</v>
      </c>
      <c r="D13947" t="inlineStr">
        <is>
          <t>VÄSTRA GÖTALANDS LÄN</t>
        </is>
      </c>
      <c r="E13947" t="inlineStr">
        <is>
          <t>BORÅS</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15426-2025</t>
        </is>
      </c>
      <c r="B13948" s="1" t="n">
        <v>45747.4666087963</v>
      </c>
      <c r="C13948" s="1" t="n">
        <v>46011</v>
      </c>
      <c r="D13948" t="inlineStr">
        <is>
          <t>VÄSTRA GÖTALANDS LÄN</t>
        </is>
      </c>
      <c r="E13948" t="inlineStr">
        <is>
          <t>GÖTENE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15442-2025</t>
        </is>
      </c>
      <c r="B13949" s="1" t="n">
        <v>45747.48292824074</v>
      </c>
      <c r="C13949" s="1" t="n">
        <v>46011</v>
      </c>
      <c r="D13949" t="inlineStr">
        <is>
          <t>VÄSTRA GÖTALANDS LÄN</t>
        </is>
      </c>
      <c r="E13949" t="inlineStr">
        <is>
          <t>GÖTENE</t>
        </is>
      </c>
      <c r="G13949" t="n">
        <v>0.2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15503-2025</t>
        </is>
      </c>
      <c r="B13950" s="1" t="n">
        <v>45747.59469907408</v>
      </c>
      <c r="C13950" s="1" t="n">
        <v>46011</v>
      </c>
      <c r="D13950" t="inlineStr">
        <is>
          <t>VÄSTRA GÖTALANDS LÄN</t>
        </is>
      </c>
      <c r="E13950" t="inlineStr">
        <is>
          <t>FALKÖPING</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48358-2023</t>
        </is>
      </c>
      <c r="B13951" s="1" t="n">
        <v>45205</v>
      </c>
      <c r="C13951" s="1" t="n">
        <v>46011</v>
      </c>
      <c r="D13951" t="inlineStr">
        <is>
          <t>VÄSTRA GÖTALANDS LÄN</t>
        </is>
      </c>
      <c r="E13951" t="inlineStr">
        <is>
          <t>BORÅS</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48365-2023</t>
        </is>
      </c>
      <c r="B13952" s="1" t="n">
        <v>45205</v>
      </c>
      <c r="C13952" s="1" t="n">
        <v>46011</v>
      </c>
      <c r="D13952" t="inlineStr">
        <is>
          <t>VÄSTRA GÖTALANDS LÄN</t>
        </is>
      </c>
      <c r="E13952" t="inlineStr">
        <is>
          <t>ÅMÅL</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5557-2023</t>
        </is>
      </c>
      <c r="B13953" s="1" t="n">
        <v>44960</v>
      </c>
      <c r="C13953" s="1" t="n">
        <v>46011</v>
      </c>
      <c r="D13953" t="inlineStr">
        <is>
          <t>VÄSTRA GÖTALANDS LÄN</t>
        </is>
      </c>
      <c r="E13953" t="inlineStr">
        <is>
          <t>UDDEVALLA</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27469-2024</t>
        </is>
      </c>
      <c r="B13954" s="1" t="n">
        <v>45474.46328703704</v>
      </c>
      <c r="C13954" s="1" t="n">
        <v>46011</v>
      </c>
      <c r="D13954" t="inlineStr">
        <is>
          <t>VÄSTRA GÖTALANDS LÄN</t>
        </is>
      </c>
      <c r="E13954" t="inlineStr">
        <is>
          <t>MARK</t>
        </is>
      </c>
      <c r="F13954" t="inlineStr">
        <is>
          <t>Kommuner</t>
        </is>
      </c>
      <c r="G13954" t="n">
        <v>0.2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27470-2024</t>
        </is>
      </c>
      <c r="B13955" s="1" t="n">
        <v>45474.46332175926</v>
      </c>
      <c r="C13955" s="1" t="n">
        <v>46011</v>
      </c>
      <c r="D13955" t="inlineStr">
        <is>
          <t>VÄSTRA GÖTALANDS LÄN</t>
        </is>
      </c>
      <c r="E13955" t="inlineStr">
        <is>
          <t>TRANEMO</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27521-2024</t>
        </is>
      </c>
      <c r="B13956" s="1" t="n">
        <v>45474.55655092592</v>
      </c>
      <c r="C13956" s="1" t="n">
        <v>46011</v>
      </c>
      <c r="D13956" t="inlineStr">
        <is>
          <t>VÄSTRA GÖTALANDS LÄN</t>
        </is>
      </c>
      <c r="E13956" t="inlineStr">
        <is>
          <t>FÄRGELANDA</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27535-2024</t>
        </is>
      </c>
      <c r="B13957" s="1" t="n">
        <v>45474.57969907407</v>
      </c>
      <c r="C13957" s="1" t="n">
        <v>46011</v>
      </c>
      <c r="D13957" t="inlineStr">
        <is>
          <t>VÄSTRA GÖTALANDS LÄN</t>
        </is>
      </c>
      <c r="E13957" t="inlineStr">
        <is>
          <t>SVENLJUNGA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11525-2023</t>
        </is>
      </c>
      <c r="B13958" s="1" t="n">
        <v>44993</v>
      </c>
      <c r="C13958" s="1" t="n">
        <v>46011</v>
      </c>
      <c r="D13958" t="inlineStr">
        <is>
          <t>VÄSTRA GÖTALANDS LÄN</t>
        </is>
      </c>
      <c r="E13958" t="inlineStr">
        <is>
          <t>MUNKEDAL</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33591-2024</t>
        </is>
      </c>
      <c r="B13959" s="1" t="n">
        <v>45520.35515046296</v>
      </c>
      <c r="C13959" s="1" t="n">
        <v>46011</v>
      </c>
      <c r="D13959" t="inlineStr">
        <is>
          <t>VÄSTRA GÖTALANDS LÄN</t>
        </is>
      </c>
      <c r="E13959" t="inlineStr">
        <is>
          <t>BENGTSFORS</t>
        </is>
      </c>
      <c r="F13959" t="inlineStr">
        <is>
          <t>Övriga Aktiebolag</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53764-2024</t>
        </is>
      </c>
      <c r="B13960" s="1" t="n">
        <v>45615</v>
      </c>
      <c r="C13960" s="1" t="n">
        <v>46011</v>
      </c>
      <c r="D13960" t="inlineStr">
        <is>
          <t>VÄSTRA GÖTALANDS LÄN</t>
        </is>
      </c>
      <c r="E13960" t="inlineStr">
        <is>
          <t>LIDKÖPING</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11410-2024</t>
        </is>
      </c>
      <c r="B13961" s="1" t="n">
        <v>45372</v>
      </c>
      <c r="C13961" s="1" t="n">
        <v>46011</v>
      </c>
      <c r="D13961" t="inlineStr">
        <is>
          <t>VÄSTRA GÖTALANDS LÄN</t>
        </is>
      </c>
      <c r="E13961" t="inlineStr">
        <is>
          <t>SVENLJUNGA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49595-2024</t>
        </is>
      </c>
      <c r="B13962" s="1" t="n">
        <v>45596.55809027778</v>
      </c>
      <c r="C13962" s="1" t="n">
        <v>46011</v>
      </c>
      <c r="D13962" t="inlineStr">
        <is>
          <t>VÄSTRA GÖTALANDS LÄN</t>
        </is>
      </c>
      <c r="E13962" t="inlineStr">
        <is>
          <t>BENGTSFORS</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23395-2023</t>
        </is>
      </c>
      <c r="B13963" s="1" t="n">
        <v>45076</v>
      </c>
      <c r="C13963" s="1" t="n">
        <v>46011</v>
      </c>
      <c r="D13963" t="inlineStr">
        <is>
          <t>VÄSTRA GÖTALANDS LÄN</t>
        </is>
      </c>
      <c r="E13963" t="inlineStr">
        <is>
          <t>UDDEVALLA</t>
        </is>
      </c>
      <c r="G13963" t="n">
        <v>12.2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23407-2023</t>
        </is>
      </c>
      <c r="B13964" s="1" t="n">
        <v>45076</v>
      </c>
      <c r="C13964" s="1" t="n">
        <v>46011</v>
      </c>
      <c r="D13964" t="inlineStr">
        <is>
          <t>VÄSTRA GÖTALANDS LÄN</t>
        </is>
      </c>
      <c r="E13964" t="inlineStr">
        <is>
          <t>BENGTSFORS</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55247-2022</t>
        </is>
      </c>
      <c r="B13965" s="1" t="n">
        <v>44887.28344907407</v>
      </c>
      <c r="C13965" s="1" t="n">
        <v>46011</v>
      </c>
      <c r="D13965" t="inlineStr">
        <is>
          <t>VÄSTRA GÖTALANDS LÄN</t>
        </is>
      </c>
      <c r="E13965" t="inlineStr">
        <is>
          <t>SKARA</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9698-2023</t>
        </is>
      </c>
      <c r="B13966" s="1" t="n">
        <v>44984.4656712963</v>
      </c>
      <c r="C13966" s="1" t="n">
        <v>46011</v>
      </c>
      <c r="D13966" t="inlineStr">
        <is>
          <t>VÄSTRA GÖTALANDS LÄN</t>
        </is>
      </c>
      <c r="E13966" t="inlineStr">
        <is>
          <t>BENGTSFORS</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9390-2023</t>
        </is>
      </c>
      <c r="B13967" s="1" t="n">
        <v>44981</v>
      </c>
      <c r="C13967" s="1" t="n">
        <v>46011</v>
      </c>
      <c r="D13967" t="inlineStr">
        <is>
          <t>VÄSTRA GÖTALANDS LÄN</t>
        </is>
      </c>
      <c r="E13967" t="inlineStr">
        <is>
          <t>SVENLJUNGA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57710-2022</t>
        </is>
      </c>
      <c r="B13968" s="1" t="n">
        <v>44897.5384375</v>
      </c>
      <c r="C13968" s="1" t="n">
        <v>46011</v>
      </c>
      <c r="D13968" t="inlineStr">
        <is>
          <t>VÄSTRA GÖTALANDS LÄN</t>
        </is>
      </c>
      <c r="E13968" t="inlineStr">
        <is>
          <t>ÅMÅL</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24432-2022</t>
        </is>
      </c>
      <c r="B13969" s="1" t="n">
        <v>44726</v>
      </c>
      <c r="C13969" s="1" t="n">
        <v>46011</v>
      </c>
      <c r="D13969" t="inlineStr">
        <is>
          <t>VÄSTRA GÖTALANDS LÄN</t>
        </is>
      </c>
      <c r="E13969" t="inlineStr">
        <is>
          <t>TROLLHÄTTAN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6811-2025</t>
        </is>
      </c>
      <c r="B13970" s="1" t="n">
        <v>45700.69462962963</v>
      </c>
      <c r="C13970" s="1" t="n">
        <v>46011</v>
      </c>
      <c r="D13970" t="inlineStr">
        <is>
          <t>VÄSTRA GÖTALANDS LÄN</t>
        </is>
      </c>
      <c r="E13970" t="inlineStr">
        <is>
          <t>TÖREBODA</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52481-2021</t>
        </is>
      </c>
      <c r="B13971" s="1" t="n">
        <v>44466.41472222222</v>
      </c>
      <c r="C13971" s="1" t="n">
        <v>46011</v>
      </c>
      <c r="D13971" t="inlineStr">
        <is>
          <t>VÄSTRA GÖTALANDS LÄN</t>
        </is>
      </c>
      <c r="E13971" t="inlineStr">
        <is>
          <t>ULRICEHAMN</t>
        </is>
      </c>
      <c r="G13971" t="n">
        <v>11.9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22953-2023</t>
        </is>
      </c>
      <c r="B13972" s="1" t="n">
        <v>45072</v>
      </c>
      <c r="C13972" s="1" t="n">
        <v>46011</v>
      </c>
      <c r="D13972" t="inlineStr">
        <is>
          <t>VÄSTRA GÖTALANDS LÄN</t>
        </is>
      </c>
      <c r="E13972" t="inlineStr">
        <is>
          <t>MÖLNDAL</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22808-2023</t>
        </is>
      </c>
      <c r="B13973" s="1" t="n">
        <v>45072</v>
      </c>
      <c r="C13973" s="1" t="n">
        <v>46011</v>
      </c>
      <c r="D13973" t="inlineStr">
        <is>
          <t>VÄSTRA GÖTALANDS LÄN</t>
        </is>
      </c>
      <c r="E13973" t="inlineStr">
        <is>
          <t>FALKÖPING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56002-2023</t>
        </is>
      </c>
      <c r="B13974" s="1" t="n">
        <v>45240.40409722222</v>
      </c>
      <c r="C13974" s="1" t="n">
        <v>46011</v>
      </c>
      <c r="D13974" t="inlineStr">
        <is>
          <t>VÄSTRA GÖTALANDS LÄN</t>
        </is>
      </c>
      <c r="E13974" t="inlineStr">
        <is>
          <t>BORÅS</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47570-2024</t>
        </is>
      </c>
      <c r="B13975" s="1" t="n">
        <v>45587.70663194444</v>
      </c>
      <c r="C13975" s="1" t="n">
        <v>46011</v>
      </c>
      <c r="D13975" t="inlineStr">
        <is>
          <t>VÄSTRA GÖTALANDS LÄN</t>
        </is>
      </c>
      <c r="E13975" t="inlineStr">
        <is>
          <t>HERRLJUNGA</t>
        </is>
      </c>
      <c r="F13975" t="inlineStr">
        <is>
          <t>Kyrkan</t>
        </is>
      </c>
      <c r="G13975" t="n">
        <v>5.9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47576-2024</t>
        </is>
      </c>
      <c r="B13976" s="1" t="n">
        <v>45587.74337962963</v>
      </c>
      <c r="C13976" s="1" t="n">
        <v>46011</v>
      </c>
      <c r="D13976" t="inlineStr">
        <is>
          <t>VÄSTRA GÖTALANDS LÄN</t>
        </is>
      </c>
      <c r="E13976" t="inlineStr">
        <is>
          <t>HERRLJUNGA</t>
        </is>
      </c>
      <c r="F13976" t="inlineStr">
        <is>
          <t>Kyrkan</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59756-2024</t>
        </is>
      </c>
      <c r="B13977" s="1" t="n">
        <v>45639.5506712963</v>
      </c>
      <c r="C13977" s="1" t="n">
        <v>46011</v>
      </c>
      <c r="D13977" t="inlineStr">
        <is>
          <t>VÄSTRA GÖTALANDS LÄN</t>
        </is>
      </c>
      <c r="E13977" t="inlineStr">
        <is>
          <t>HERRLJUNGA</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59758-2024</t>
        </is>
      </c>
      <c r="B13978" s="1" t="n">
        <v>45639.55207175926</v>
      </c>
      <c r="C13978" s="1" t="n">
        <v>46011</v>
      </c>
      <c r="D13978" t="inlineStr">
        <is>
          <t>VÄSTRA GÖTALANDS LÄN</t>
        </is>
      </c>
      <c r="E13978" t="inlineStr">
        <is>
          <t>LERUM</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48865-2024</t>
        </is>
      </c>
      <c r="B13979" s="1" t="n">
        <v>45594.2466087963</v>
      </c>
      <c r="C13979" s="1" t="n">
        <v>46011</v>
      </c>
      <c r="D13979" t="inlineStr">
        <is>
          <t>VÄSTRA GÖTALANDS LÄN</t>
        </is>
      </c>
      <c r="E13979" t="inlineStr">
        <is>
          <t>GRÄSTORP</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22236-2023</t>
        </is>
      </c>
      <c r="B13980" s="1" t="n">
        <v>45070</v>
      </c>
      <c r="C13980" s="1" t="n">
        <v>46011</v>
      </c>
      <c r="D13980" t="inlineStr">
        <is>
          <t>VÄSTRA GÖTALANDS LÄN</t>
        </is>
      </c>
      <c r="E13980" t="inlineStr">
        <is>
          <t>MARIESTAD</t>
        </is>
      </c>
      <c r="F13980" t="inlineStr">
        <is>
          <t>Sveaskog</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41297-2023</t>
        </is>
      </c>
      <c r="B13981" s="1" t="n">
        <v>45174</v>
      </c>
      <c r="C13981" s="1" t="n">
        <v>46011</v>
      </c>
      <c r="D13981" t="inlineStr">
        <is>
          <t>VÄSTRA GÖTALANDS LÄN</t>
        </is>
      </c>
      <c r="E13981" t="inlineStr">
        <is>
          <t>TANUM</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13340-2022</t>
        </is>
      </c>
      <c r="B13982" s="1" t="n">
        <v>44645</v>
      </c>
      <c r="C13982" s="1" t="n">
        <v>46011</v>
      </c>
      <c r="D13982" t="inlineStr">
        <is>
          <t>VÄSTRA GÖTALANDS LÄN</t>
        </is>
      </c>
      <c r="E13982" t="inlineStr">
        <is>
          <t>GÖTENE</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13348-2022</t>
        </is>
      </c>
      <c r="B13983" s="1" t="n">
        <v>44645</v>
      </c>
      <c r="C13983" s="1" t="n">
        <v>46011</v>
      </c>
      <c r="D13983" t="inlineStr">
        <is>
          <t>VÄSTRA GÖTALANDS LÄN</t>
        </is>
      </c>
      <c r="E13983" t="inlineStr">
        <is>
          <t>GÖTENE</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21240-2023</t>
        </is>
      </c>
      <c r="B13984" s="1" t="n">
        <v>45058</v>
      </c>
      <c r="C13984" s="1" t="n">
        <v>46011</v>
      </c>
      <c r="D13984" t="inlineStr">
        <is>
          <t>VÄSTRA GÖTALANDS LÄN</t>
        </is>
      </c>
      <c r="E13984" t="inlineStr">
        <is>
          <t>KUNGÄLV</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37907-2024</t>
        </is>
      </c>
      <c r="B13985" s="1" t="n">
        <v>45544</v>
      </c>
      <c r="C13985" s="1" t="n">
        <v>46011</v>
      </c>
      <c r="D13985" t="inlineStr">
        <is>
          <t>VÄSTRA GÖTALANDS LÄN</t>
        </is>
      </c>
      <c r="E13985" t="inlineStr">
        <is>
          <t>SVENLJUNGA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38984-2023</t>
        </is>
      </c>
      <c r="B13986" s="1" t="n">
        <v>45163.65268518519</v>
      </c>
      <c r="C13986" s="1" t="n">
        <v>46011</v>
      </c>
      <c r="D13986" t="inlineStr">
        <is>
          <t>VÄSTRA GÖTALANDS LÄN</t>
        </is>
      </c>
      <c r="E13986" t="inlineStr">
        <is>
          <t>ULRICEHAMN</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4591-2025</t>
        </is>
      </c>
      <c r="B13987" s="1" t="n">
        <v>45687.54039351852</v>
      </c>
      <c r="C13987" s="1" t="n">
        <v>46011</v>
      </c>
      <c r="D13987" t="inlineStr">
        <is>
          <t>VÄSTRA GÖTALANDS LÄN</t>
        </is>
      </c>
      <c r="E13987" t="inlineStr">
        <is>
          <t>TÖREBODA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4600-2025</t>
        </is>
      </c>
      <c r="B13988" s="1" t="n">
        <v>45687</v>
      </c>
      <c r="C13988" s="1" t="n">
        <v>46011</v>
      </c>
      <c r="D13988" t="inlineStr">
        <is>
          <t>VÄSTRA GÖTALANDS LÄN</t>
        </is>
      </c>
      <c r="E13988" t="inlineStr">
        <is>
          <t>SKÖVDE</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14012-2023</t>
        </is>
      </c>
      <c r="B13989" s="1" t="n">
        <v>45008</v>
      </c>
      <c r="C13989" s="1" t="n">
        <v>46011</v>
      </c>
      <c r="D13989" t="inlineStr">
        <is>
          <t>VÄSTRA GÖTALANDS LÄN</t>
        </is>
      </c>
      <c r="E13989" t="inlineStr">
        <is>
          <t>DALS-ED</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65197-2023</t>
        </is>
      </c>
      <c r="B13990" s="1" t="n">
        <v>45289</v>
      </c>
      <c r="C13990" s="1" t="n">
        <v>46011</v>
      </c>
      <c r="D13990" t="inlineStr">
        <is>
          <t>VÄSTRA GÖTALANDS LÄN</t>
        </is>
      </c>
      <c r="E13990" t="inlineStr">
        <is>
          <t>MARIESTAD</t>
        </is>
      </c>
      <c r="F13990" t="inlineStr">
        <is>
          <t>Sveaskog</t>
        </is>
      </c>
      <c r="G13990" t="n">
        <v>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64308-2023</t>
        </is>
      </c>
      <c r="B13991" s="1" t="n">
        <v>45280.37271990741</v>
      </c>
      <c r="C13991" s="1" t="n">
        <v>46011</v>
      </c>
      <c r="D13991" t="inlineStr">
        <is>
          <t>VÄSTRA GÖTALANDS LÄN</t>
        </is>
      </c>
      <c r="E13991" t="inlineStr">
        <is>
          <t>HERRLJUNGA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37203-2024</t>
        </is>
      </c>
      <c r="B13992" s="1" t="n">
        <v>45539.67503472222</v>
      </c>
      <c r="C13992" s="1" t="n">
        <v>46011</v>
      </c>
      <c r="D13992" t="inlineStr">
        <is>
          <t>VÄSTRA GÖTALANDS LÄN</t>
        </is>
      </c>
      <c r="E13992" t="inlineStr">
        <is>
          <t>TRANEMO</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57855-2022</t>
        </is>
      </c>
      <c r="B13993" s="1" t="n">
        <v>44898</v>
      </c>
      <c r="C13993" s="1" t="n">
        <v>46011</v>
      </c>
      <c r="D13993" t="inlineStr">
        <is>
          <t>VÄSTRA GÖTALANDS LÄN</t>
        </is>
      </c>
      <c r="E13993" t="inlineStr">
        <is>
          <t>SVENLJUNGA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57964-2022</t>
        </is>
      </c>
      <c r="B13994" s="1" t="n">
        <v>44900.43491898148</v>
      </c>
      <c r="C13994" s="1" t="n">
        <v>46011</v>
      </c>
      <c r="D13994" t="inlineStr">
        <is>
          <t>VÄSTRA GÖTALANDS LÄN</t>
        </is>
      </c>
      <c r="E13994" t="inlineStr">
        <is>
          <t>TIDAHOLM</t>
        </is>
      </c>
      <c r="F13994" t="inlineStr">
        <is>
          <t>Sveaskog</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10165-2025</t>
        </is>
      </c>
      <c r="B13995" s="1" t="n">
        <v>45719.65021990741</v>
      </c>
      <c r="C13995" s="1" t="n">
        <v>46011</v>
      </c>
      <c r="D13995" t="inlineStr">
        <is>
          <t>VÄSTRA GÖTALANDS LÄN</t>
        </is>
      </c>
      <c r="E13995" t="inlineStr">
        <is>
          <t>VARA</t>
        </is>
      </c>
      <c r="F13995" t="inlineStr">
        <is>
          <t>Kyrkan</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11023-2023</t>
        </is>
      </c>
      <c r="B13996" s="1" t="n">
        <v>44991.85997685185</v>
      </c>
      <c r="C13996" s="1" t="n">
        <v>46011</v>
      </c>
      <c r="D13996" t="inlineStr">
        <is>
          <t>VÄSTRA GÖTALANDS LÄN</t>
        </is>
      </c>
      <c r="E13996" t="inlineStr">
        <is>
          <t>ALINGSÅS</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16088-2025</t>
        </is>
      </c>
      <c r="B13997" s="1" t="n">
        <v>45749.82921296296</v>
      </c>
      <c r="C13997" s="1" t="n">
        <v>46011</v>
      </c>
      <c r="D13997" t="inlineStr">
        <is>
          <t>VÄSTRA GÖTALANDS LÄN</t>
        </is>
      </c>
      <c r="E13997" t="inlineStr">
        <is>
          <t>ALINGSÅS</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49954-2023</t>
        </is>
      </c>
      <c r="B13998" s="1" t="n">
        <v>45215.37692129629</v>
      </c>
      <c r="C13998" s="1" t="n">
        <v>46011</v>
      </c>
      <c r="D13998" t="inlineStr">
        <is>
          <t>VÄSTRA GÖTALANDS LÄN</t>
        </is>
      </c>
      <c r="E13998" t="inlineStr">
        <is>
          <t>SKÖVDE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37257-2024</t>
        </is>
      </c>
      <c r="B13999" s="1" t="n">
        <v>45540.36935185185</v>
      </c>
      <c r="C13999" s="1" t="n">
        <v>46011</v>
      </c>
      <c r="D13999" t="inlineStr">
        <is>
          <t>VÄSTRA GÖTALANDS LÄN</t>
        </is>
      </c>
      <c r="E13999" t="inlineStr">
        <is>
          <t>FALKÖPING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41406-2024</t>
        </is>
      </c>
      <c r="B14000" s="1" t="n">
        <v>45560.34092592593</v>
      </c>
      <c r="C14000" s="1" t="n">
        <v>46011</v>
      </c>
      <c r="D14000" t="inlineStr">
        <is>
          <t>VÄSTRA GÖTALANDS LÄN</t>
        </is>
      </c>
      <c r="E14000" t="inlineStr">
        <is>
          <t>MARIESTAD</t>
        </is>
      </c>
      <c r="F14000" t="inlineStr">
        <is>
          <t>Sveaskog</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9284-2025</t>
        </is>
      </c>
      <c r="B14001" s="1" t="n">
        <v>45714</v>
      </c>
      <c r="C14001" s="1" t="n">
        <v>46011</v>
      </c>
      <c r="D14001" t="inlineStr">
        <is>
          <t>VÄSTRA GÖTALANDS LÄN</t>
        </is>
      </c>
      <c r="E14001" t="inlineStr">
        <is>
          <t>SKÖVDE</t>
        </is>
      </c>
      <c r="F14001" t="inlineStr">
        <is>
          <t>Kommuner</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23173-2023</t>
        </is>
      </c>
      <c r="B14002" s="1" t="n">
        <v>45075.56796296296</v>
      </c>
      <c r="C14002" s="1" t="n">
        <v>46011</v>
      </c>
      <c r="D14002" t="inlineStr">
        <is>
          <t>VÄSTRA GÖTALANDS LÄN</t>
        </is>
      </c>
      <c r="E14002" t="inlineStr">
        <is>
          <t>TANUM</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56381-2023</t>
        </is>
      </c>
      <c r="B14003" s="1" t="n">
        <v>45243.39946759259</v>
      </c>
      <c r="C14003" s="1" t="n">
        <v>46011</v>
      </c>
      <c r="D14003" t="inlineStr">
        <is>
          <t>VÄSTRA GÖTALANDS LÄN</t>
        </is>
      </c>
      <c r="E14003" t="inlineStr">
        <is>
          <t>BENGTSFORS</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9003-2025</t>
        </is>
      </c>
      <c r="B14004" s="1" t="n">
        <v>45713.56717592593</v>
      </c>
      <c r="C14004" s="1" t="n">
        <v>46011</v>
      </c>
      <c r="D14004" t="inlineStr">
        <is>
          <t>VÄSTRA GÖTALANDS LÄN</t>
        </is>
      </c>
      <c r="E14004" t="inlineStr">
        <is>
          <t>SVENLJUNGA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7387-2025</t>
        </is>
      </c>
      <c r="B14005" s="1" t="n">
        <v>45705.33028935185</v>
      </c>
      <c r="C14005" s="1" t="n">
        <v>46011</v>
      </c>
      <c r="D14005" t="inlineStr">
        <is>
          <t>VÄSTRA GÖTALANDS LÄN</t>
        </is>
      </c>
      <c r="E14005" t="inlineStr">
        <is>
          <t>FÄRGELANDA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36289-2024</t>
        </is>
      </c>
      <c r="B14006" s="1" t="n">
        <v>45534</v>
      </c>
      <c r="C14006" s="1" t="n">
        <v>46011</v>
      </c>
      <c r="D14006" t="inlineStr">
        <is>
          <t>VÄSTRA GÖTALANDS LÄN</t>
        </is>
      </c>
      <c r="E14006" t="inlineStr">
        <is>
          <t>ÅMÅL</t>
        </is>
      </c>
      <c r="F14006" t="inlineStr">
        <is>
          <t>Bergvik skog väst AB</t>
        </is>
      </c>
      <c r="G14006" t="n">
        <v>11.2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49606-2023</t>
        </is>
      </c>
      <c r="B14007" s="1" t="n">
        <v>45211.72998842593</v>
      </c>
      <c r="C14007" s="1" t="n">
        <v>46011</v>
      </c>
      <c r="D14007" t="inlineStr">
        <is>
          <t>VÄSTRA GÖTALANDS LÄN</t>
        </is>
      </c>
      <c r="E14007" t="inlineStr">
        <is>
          <t>HERRLJUNGA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21625-2023</t>
        </is>
      </c>
      <c r="B14008" s="1" t="n">
        <v>45063.66107638889</v>
      </c>
      <c r="C14008" s="1" t="n">
        <v>46011</v>
      </c>
      <c r="D14008" t="inlineStr">
        <is>
          <t>VÄSTRA GÖTALANDS LÄN</t>
        </is>
      </c>
      <c r="E14008" t="inlineStr">
        <is>
          <t>MUNKEDAL</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52377-2024</t>
        </is>
      </c>
      <c r="B14009" s="1" t="n">
        <v>45609.40314814815</v>
      </c>
      <c r="C14009" s="1" t="n">
        <v>46011</v>
      </c>
      <c r="D14009" t="inlineStr">
        <is>
          <t>VÄSTRA GÖTALANDS LÄN</t>
        </is>
      </c>
      <c r="E14009" t="inlineStr">
        <is>
          <t>SVENLJUNGA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51446-2024</t>
        </is>
      </c>
      <c r="B14010" s="1" t="n">
        <v>45604.48800925926</v>
      </c>
      <c r="C14010" s="1" t="n">
        <v>46011</v>
      </c>
      <c r="D14010" t="inlineStr">
        <is>
          <t>VÄSTRA GÖTALANDS LÄN</t>
        </is>
      </c>
      <c r="E14010" t="inlineStr">
        <is>
          <t>MARK</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25955-2023</t>
        </is>
      </c>
      <c r="B14011" s="1" t="n">
        <v>45090.74939814815</v>
      </c>
      <c r="C14011" s="1" t="n">
        <v>46011</v>
      </c>
      <c r="D14011" t="inlineStr">
        <is>
          <t>VÄSTRA GÖTALANDS LÄN</t>
        </is>
      </c>
      <c r="E14011" t="inlineStr">
        <is>
          <t>BENGTSFORS</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2386-2023</t>
        </is>
      </c>
      <c r="B14012" s="1" t="n">
        <v>44942.71665509259</v>
      </c>
      <c r="C14012" s="1" t="n">
        <v>46011</v>
      </c>
      <c r="D14012" t="inlineStr">
        <is>
          <t>VÄSTRA GÖTALANDS LÄN</t>
        </is>
      </c>
      <c r="E14012" t="inlineStr">
        <is>
          <t>MARIESTAD</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58861-2022</t>
        </is>
      </c>
      <c r="B14013" s="1" t="n">
        <v>44903</v>
      </c>
      <c r="C14013" s="1" t="n">
        <v>46011</v>
      </c>
      <c r="D14013" t="inlineStr">
        <is>
          <t>VÄSTRA GÖTALANDS LÄN</t>
        </is>
      </c>
      <c r="E14013" t="inlineStr">
        <is>
          <t>MELLERUD</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26362-2024</t>
        </is>
      </c>
      <c r="B14014" s="1" t="n">
        <v>45469.38258101852</v>
      </c>
      <c r="C14014" s="1" t="n">
        <v>46011</v>
      </c>
      <c r="D14014" t="inlineStr">
        <is>
          <t>VÄSTRA GÖTALANDS LÄN</t>
        </is>
      </c>
      <c r="E14014" t="inlineStr">
        <is>
          <t>VÅRGÅRDA</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3770-2024</t>
        </is>
      </c>
      <c r="B14015" s="1" t="n">
        <v>45321.57853009259</v>
      </c>
      <c r="C14015" s="1" t="n">
        <v>46011</v>
      </c>
      <c r="D14015" t="inlineStr">
        <is>
          <t>VÄSTRA GÖTALANDS LÄN</t>
        </is>
      </c>
      <c r="E14015" t="inlineStr">
        <is>
          <t>TRANEMO</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3773-2024</t>
        </is>
      </c>
      <c r="B14016" s="1" t="n">
        <v>45321.57921296296</v>
      </c>
      <c r="C14016" s="1" t="n">
        <v>46011</v>
      </c>
      <c r="D14016" t="inlineStr">
        <is>
          <t>VÄSTRA GÖTALANDS LÄN</t>
        </is>
      </c>
      <c r="E14016" t="inlineStr">
        <is>
          <t>HERRLJUNGA</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49633-2024</t>
        </is>
      </c>
      <c r="B14017" s="1" t="n">
        <v>45596.59559027778</v>
      </c>
      <c r="C14017" s="1" t="n">
        <v>46011</v>
      </c>
      <c r="D14017" t="inlineStr">
        <is>
          <t>VÄSTRA GÖTALANDS LÄN</t>
        </is>
      </c>
      <c r="E14017" t="inlineStr">
        <is>
          <t>SOTENÄS</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11663-2022</t>
        </is>
      </c>
      <c r="B14018" s="1" t="n">
        <v>44632.75332175926</v>
      </c>
      <c r="C14018" s="1" t="n">
        <v>46011</v>
      </c>
      <c r="D14018" t="inlineStr">
        <is>
          <t>VÄSTRA GÖTALANDS LÄN</t>
        </is>
      </c>
      <c r="E14018" t="inlineStr">
        <is>
          <t>MARK</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9127-2023</t>
        </is>
      </c>
      <c r="B14019" s="1" t="n">
        <v>44980</v>
      </c>
      <c r="C14019" s="1" t="n">
        <v>46011</v>
      </c>
      <c r="D14019" t="inlineStr">
        <is>
          <t>VÄSTRA GÖTALANDS LÄN</t>
        </is>
      </c>
      <c r="E14019" t="inlineStr">
        <is>
          <t>BORÅS</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56495-2023</t>
        </is>
      </c>
      <c r="B14020" s="1" t="n">
        <v>45243.52725694444</v>
      </c>
      <c r="C14020" s="1" t="n">
        <v>46011</v>
      </c>
      <c r="D14020" t="inlineStr">
        <is>
          <t>VÄSTRA GÖTALANDS LÄN</t>
        </is>
      </c>
      <c r="E14020" t="inlineStr">
        <is>
          <t>KARLSBORG</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27671-2022</t>
        </is>
      </c>
      <c r="B14021" s="1" t="n">
        <v>44743.39986111111</v>
      </c>
      <c r="C14021" s="1" t="n">
        <v>46011</v>
      </c>
      <c r="D14021" t="inlineStr">
        <is>
          <t>VÄSTRA GÖTALANDS LÄN</t>
        </is>
      </c>
      <c r="E14021" t="inlineStr">
        <is>
          <t>SKÖVDE</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27668-2022</t>
        </is>
      </c>
      <c r="B14022" s="1" t="n">
        <v>44743</v>
      </c>
      <c r="C14022" s="1" t="n">
        <v>46011</v>
      </c>
      <c r="D14022" t="inlineStr">
        <is>
          <t>VÄSTRA GÖTALANDS LÄN</t>
        </is>
      </c>
      <c r="E14022" t="inlineStr">
        <is>
          <t>SKARA</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11653-2023</t>
        </is>
      </c>
      <c r="B14023" s="1" t="n">
        <v>44994.45799768518</v>
      </c>
      <c r="C14023" s="1" t="n">
        <v>46011</v>
      </c>
      <c r="D14023" t="inlineStr">
        <is>
          <t>VÄSTRA GÖTALANDS LÄN</t>
        </is>
      </c>
      <c r="E14023" t="inlineStr">
        <is>
          <t>MARK</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49743-2023</t>
        </is>
      </c>
      <c r="B14024" s="1" t="n">
        <v>45212.49534722222</v>
      </c>
      <c r="C14024" s="1" t="n">
        <v>46011</v>
      </c>
      <c r="D14024" t="inlineStr">
        <is>
          <t>VÄSTRA GÖTALANDS LÄN</t>
        </is>
      </c>
      <c r="E14024" t="inlineStr">
        <is>
          <t>HERRLJUNGA</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52100-2023</t>
        </is>
      </c>
      <c r="B14025" s="1" t="n">
        <v>45223</v>
      </c>
      <c r="C14025" s="1" t="n">
        <v>46011</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34979-2024</t>
        </is>
      </c>
      <c r="B14026" s="1" t="n">
        <v>45527</v>
      </c>
      <c r="C14026" s="1" t="n">
        <v>46011</v>
      </c>
      <c r="D14026" t="inlineStr">
        <is>
          <t>VÄSTRA GÖTALANDS LÄN</t>
        </is>
      </c>
      <c r="E14026" t="inlineStr">
        <is>
          <t>ÅMÅL</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5477-2025</t>
        </is>
      </c>
      <c r="B14027" s="1" t="n">
        <v>45693.33332175926</v>
      </c>
      <c r="C14027" s="1" t="n">
        <v>46011</v>
      </c>
      <c r="D14027" t="inlineStr">
        <is>
          <t>VÄSTRA GÖTALANDS LÄN</t>
        </is>
      </c>
      <c r="E14027" t="inlineStr">
        <is>
          <t>SKÖVDE</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44846-2024</t>
        </is>
      </c>
      <c r="B14028" s="1" t="n">
        <v>45574</v>
      </c>
      <c r="C14028" s="1" t="n">
        <v>46011</v>
      </c>
      <c r="D14028" t="inlineStr">
        <is>
          <t>VÄSTRA GÖTALANDS LÄN</t>
        </is>
      </c>
      <c r="E14028" t="inlineStr">
        <is>
          <t>FÄRGELANDA</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41067-2023</t>
        </is>
      </c>
      <c r="B14029" s="1" t="n">
        <v>45170</v>
      </c>
      <c r="C14029" s="1" t="n">
        <v>46011</v>
      </c>
      <c r="D14029" t="inlineStr">
        <is>
          <t>VÄSTRA GÖTALANDS LÄN</t>
        </is>
      </c>
      <c r="E14029" t="inlineStr">
        <is>
          <t>TANUM</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42823-2023</t>
        </is>
      </c>
      <c r="B14030" s="1" t="n">
        <v>45182.36677083333</v>
      </c>
      <c r="C14030" s="1" t="n">
        <v>46011</v>
      </c>
      <c r="D14030" t="inlineStr">
        <is>
          <t>VÄSTRA GÖTALANDS LÄN</t>
        </is>
      </c>
      <c r="E14030" t="inlineStr">
        <is>
          <t>DALS-ED</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11905-2024</t>
        </is>
      </c>
      <c r="B14031" s="1" t="n">
        <v>45376.56670138889</v>
      </c>
      <c r="C14031" s="1" t="n">
        <v>46011</v>
      </c>
      <c r="D14031" t="inlineStr">
        <is>
          <t>VÄSTRA GÖTALANDS LÄN</t>
        </is>
      </c>
      <c r="E14031" t="inlineStr">
        <is>
          <t>BENGTSFORS</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13947-2024</t>
        </is>
      </c>
      <c r="B14032" s="1" t="n">
        <v>45392.31473379629</v>
      </c>
      <c r="C14032" s="1" t="n">
        <v>46011</v>
      </c>
      <c r="D14032" t="inlineStr">
        <is>
          <t>VÄSTRA GÖTALANDS LÄN</t>
        </is>
      </c>
      <c r="E14032" t="inlineStr">
        <is>
          <t>TRANEMO</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47922-2023</t>
        </is>
      </c>
      <c r="B14033" s="1" t="n">
        <v>45204</v>
      </c>
      <c r="C14033" s="1" t="n">
        <v>46011</v>
      </c>
      <c r="D14033" t="inlineStr">
        <is>
          <t>VÄSTRA GÖTALANDS LÄN</t>
        </is>
      </c>
      <c r="E14033" t="inlineStr">
        <is>
          <t>FALKÖPING</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16615-2023</t>
        </is>
      </c>
      <c r="B14034" s="1" t="n">
        <v>45030</v>
      </c>
      <c r="C14034" s="1" t="n">
        <v>46011</v>
      </c>
      <c r="D14034" t="inlineStr">
        <is>
          <t>VÄSTRA GÖTALANDS LÄN</t>
        </is>
      </c>
      <c r="E14034" t="inlineStr">
        <is>
          <t>MARK</t>
        </is>
      </c>
      <c r="F14034" t="inlineStr">
        <is>
          <t>Sveaskog</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19869-2024</t>
        </is>
      </c>
      <c r="B14035" s="1" t="n">
        <v>45433.44925925926</v>
      </c>
      <c r="C14035" s="1" t="n">
        <v>46011</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48985-2022</t>
        </is>
      </c>
      <c r="B14036" s="1" t="n">
        <v>44860</v>
      </c>
      <c r="C14036" s="1" t="n">
        <v>46011</v>
      </c>
      <c r="D14036" t="inlineStr">
        <is>
          <t>VÄSTRA GÖTALANDS LÄN</t>
        </is>
      </c>
      <c r="E14036" t="inlineStr">
        <is>
          <t>SKARA</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41163-2023</t>
        </is>
      </c>
      <c r="B14037" s="1" t="n">
        <v>45174</v>
      </c>
      <c r="C14037" s="1" t="n">
        <v>46011</v>
      </c>
      <c r="D14037" t="inlineStr">
        <is>
          <t>VÄSTRA GÖTALANDS LÄN</t>
        </is>
      </c>
      <c r="E14037" t="inlineStr">
        <is>
          <t>LIDKÖPING</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9532-2022</t>
        </is>
      </c>
      <c r="B14038" s="1" t="n">
        <v>44617</v>
      </c>
      <c r="C14038" s="1" t="n">
        <v>46011</v>
      </c>
      <c r="D14038" t="inlineStr">
        <is>
          <t>VÄSTRA GÖTALANDS LÄN</t>
        </is>
      </c>
      <c r="E14038" t="inlineStr">
        <is>
          <t>SVENLJUNGA</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32797-2023</t>
        </is>
      </c>
      <c r="B14039" s="1" t="n">
        <v>45124.4128587963</v>
      </c>
      <c r="C14039" s="1" t="n">
        <v>46011</v>
      </c>
      <c r="D14039" t="inlineStr">
        <is>
          <t>VÄSTRA GÖTALANDS LÄN</t>
        </is>
      </c>
      <c r="E14039" t="inlineStr">
        <is>
          <t>DALS-ED</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7870-2025</t>
        </is>
      </c>
      <c r="B14040" s="1" t="n">
        <v>45706</v>
      </c>
      <c r="C14040" s="1" t="n">
        <v>46011</v>
      </c>
      <c r="D14040" t="inlineStr">
        <is>
          <t>VÄSTRA GÖTALANDS LÄN</t>
        </is>
      </c>
      <c r="E14040" t="inlineStr">
        <is>
          <t>SKÖVDE</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54919-2024</t>
        </is>
      </c>
      <c r="B14041" s="1" t="n">
        <v>45618.70145833334</v>
      </c>
      <c r="C14041" s="1" t="n">
        <v>46011</v>
      </c>
      <c r="D14041" t="inlineStr">
        <is>
          <t>VÄSTRA GÖTALANDS LÄN</t>
        </is>
      </c>
      <c r="E14041" t="inlineStr">
        <is>
          <t>HERRLJUNGA</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11425-2022</t>
        </is>
      </c>
      <c r="B14042" s="1" t="n">
        <v>44630.59177083334</v>
      </c>
      <c r="C14042" s="1" t="n">
        <v>46011</v>
      </c>
      <c r="D14042" t="inlineStr">
        <is>
          <t>VÄSTRA GÖTALANDS LÄN</t>
        </is>
      </c>
      <c r="E14042" t="inlineStr">
        <is>
          <t>MUNKEDAL</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44883-2021</t>
        </is>
      </c>
      <c r="B14043" s="1" t="n">
        <v>44438.61731481482</v>
      </c>
      <c r="C14043" s="1" t="n">
        <v>46011</v>
      </c>
      <c r="D14043" t="inlineStr">
        <is>
          <t>VÄSTRA GÖTALANDS LÄN</t>
        </is>
      </c>
      <c r="E14043" t="inlineStr">
        <is>
          <t>STRÖMSTAD</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2446-2022</t>
        </is>
      </c>
      <c r="B14044" s="1" t="n">
        <v>44579.571875</v>
      </c>
      <c r="C14044" s="1" t="n">
        <v>46011</v>
      </c>
      <c r="D14044" t="inlineStr">
        <is>
          <t>VÄSTRA GÖTALANDS LÄN</t>
        </is>
      </c>
      <c r="E14044" t="inlineStr">
        <is>
          <t>MARK</t>
        </is>
      </c>
      <c r="F14044" t="inlineStr">
        <is>
          <t>Kommuner</t>
        </is>
      </c>
      <c r="G14044" t="n">
        <v>5.9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62751-2021</t>
        </is>
      </c>
      <c r="B14045" s="1" t="n">
        <v>44504</v>
      </c>
      <c r="C14045" s="1" t="n">
        <v>46011</v>
      </c>
      <c r="D14045" t="inlineStr">
        <is>
          <t>VÄSTRA GÖTALANDS LÄN</t>
        </is>
      </c>
      <c r="E14045" t="inlineStr">
        <is>
          <t>FÄRGELANDA</t>
        </is>
      </c>
      <c r="G14045" t="n">
        <v>7.1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28702-2023</t>
        </is>
      </c>
      <c r="B14046" s="1" t="n">
        <v>45103.74606481481</v>
      </c>
      <c r="C14046" s="1" t="n">
        <v>46011</v>
      </c>
      <c r="D14046" t="inlineStr">
        <is>
          <t>VÄSTRA GÖTALANDS LÄN</t>
        </is>
      </c>
      <c r="E14046" t="inlineStr">
        <is>
          <t>DALS-ED</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27260-2024</t>
        </is>
      </c>
      <c r="B14047" s="1" t="n">
        <v>45471</v>
      </c>
      <c r="C14047" s="1" t="n">
        <v>46011</v>
      </c>
      <c r="D14047" t="inlineStr">
        <is>
          <t>VÄSTRA GÖTALANDS LÄN</t>
        </is>
      </c>
      <c r="E14047" t="inlineStr">
        <is>
          <t>GULLSPÅNG</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4696-2024</t>
        </is>
      </c>
      <c r="B14048" s="1" t="n">
        <v>45328</v>
      </c>
      <c r="C14048" s="1" t="n">
        <v>46011</v>
      </c>
      <c r="D14048" t="inlineStr">
        <is>
          <t>VÄSTRA GÖTALANDS LÄN</t>
        </is>
      </c>
      <c r="E14048" t="inlineStr">
        <is>
          <t>ÅMÅL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823-2023</t>
        </is>
      </c>
      <c r="B14049" s="1" t="n">
        <v>44929</v>
      </c>
      <c r="C14049" s="1" t="n">
        <v>46011</v>
      </c>
      <c r="D14049" t="inlineStr">
        <is>
          <t>VÄSTRA GÖTALANDS LÄN</t>
        </is>
      </c>
      <c r="E14049" t="inlineStr">
        <is>
          <t>ULRICEHAMN</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8567-2023</t>
        </is>
      </c>
      <c r="B14050" s="1" t="n">
        <v>44977.63353009259</v>
      </c>
      <c r="C14050" s="1" t="n">
        <v>46011</v>
      </c>
      <c r="D14050" t="inlineStr">
        <is>
          <t>VÄSTRA GÖTALANDS LÄN</t>
        </is>
      </c>
      <c r="E14050" t="inlineStr">
        <is>
          <t>STENUNGSUND</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42769-2022</t>
        </is>
      </c>
      <c r="B14051" s="1" t="n">
        <v>44832</v>
      </c>
      <c r="C14051" s="1" t="n">
        <v>46011</v>
      </c>
      <c r="D14051" t="inlineStr">
        <is>
          <t>VÄSTRA GÖTALANDS LÄN</t>
        </is>
      </c>
      <c r="E14051" t="inlineStr">
        <is>
          <t>GULLSPÅNG</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37958-2022</t>
        </is>
      </c>
      <c r="B14052" s="1" t="n">
        <v>44811.49701388889</v>
      </c>
      <c r="C14052" s="1" t="n">
        <v>46011</v>
      </c>
      <c r="D14052" t="inlineStr">
        <is>
          <t>VÄSTRA GÖTALANDS LÄN</t>
        </is>
      </c>
      <c r="E14052" t="inlineStr">
        <is>
          <t>FALKÖPING</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46241-2023</t>
        </is>
      </c>
      <c r="B14053" s="1" t="n">
        <v>45196</v>
      </c>
      <c r="C14053" s="1" t="n">
        <v>46011</v>
      </c>
      <c r="D14053" t="inlineStr">
        <is>
          <t>VÄSTRA GÖTALANDS LÄN</t>
        </is>
      </c>
      <c r="E14053" t="inlineStr">
        <is>
          <t>TANUM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31885-2022</t>
        </is>
      </c>
      <c r="B14054" s="1" t="n">
        <v>44777.45040509259</v>
      </c>
      <c r="C14054" s="1" t="n">
        <v>46011</v>
      </c>
      <c r="D14054" t="inlineStr">
        <is>
          <t>VÄSTRA GÖTALANDS LÄN</t>
        </is>
      </c>
      <c r="E14054" t="inlineStr">
        <is>
          <t>FÄRGELANDA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31206-2021</t>
        </is>
      </c>
      <c r="B14055" s="1" t="n">
        <v>44368</v>
      </c>
      <c r="C14055" s="1" t="n">
        <v>46011</v>
      </c>
      <c r="D14055" t="inlineStr">
        <is>
          <t>VÄSTRA GÖTALANDS LÄN</t>
        </is>
      </c>
      <c r="E14055" t="inlineStr">
        <is>
          <t>ULRICEHAMN</t>
        </is>
      </c>
      <c r="F14055" t="inlineStr">
        <is>
          <t>Sveaskog</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31218-2021</t>
        </is>
      </c>
      <c r="B14056" s="1" t="n">
        <v>44368</v>
      </c>
      <c r="C14056" s="1" t="n">
        <v>46011</v>
      </c>
      <c r="D14056" t="inlineStr">
        <is>
          <t>VÄSTRA GÖTALANDS LÄN</t>
        </is>
      </c>
      <c r="E14056" t="inlineStr">
        <is>
          <t>BENGTSFORS</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35383-2024</t>
        </is>
      </c>
      <c r="B14057" s="1" t="n">
        <v>45531.38659722222</v>
      </c>
      <c r="C14057" s="1" t="n">
        <v>46011</v>
      </c>
      <c r="D14057" t="inlineStr">
        <is>
          <t>VÄSTRA GÖTALANDS LÄN</t>
        </is>
      </c>
      <c r="E14057" t="inlineStr">
        <is>
          <t>BENGTSFORS</t>
        </is>
      </c>
      <c r="G14057" t="n">
        <v>3.4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1726-2025</t>
        </is>
      </c>
      <c r="B14058" s="1" t="n">
        <v>45671.35555555556</v>
      </c>
      <c r="C14058" s="1" t="n">
        <v>46011</v>
      </c>
      <c r="D14058" t="inlineStr">
        <is>
          <t>VÄSTRA GÖTALANDS LÄN</t>
        </is>
      </c>
      <c r="E14058" t="inlineStr">
        <is>
          <t>ULRICEHAMN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33527-2021</t>
        </is>
      </c>
      <c r="B14059" s="1" t="n">
        <v>44377.79693287037</v>
      </c>
      <c r="C14059" s="1" t="n">
        <v>46011</v>
      </c>
      <c r="D14059" t="inlineStr">
        <is>
          <t>VÄSTRA GÖTALANDS LÄN</t>
        </is>
      </c>
      <c r="E14059" t="inlineStr">
        <is>
          <t>LILLA EDET</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312-2025</t>
        </is>
      </c>
      <c r="B14060" s="1" t="n">
        <v>45660</v>
      </c>
      <c r="C14060" s="1" t="n">
        <v>46011</v>
      </c>
      <c r="D14060" t="inlineStr">
        <is>
          <t>VÄSTRA GÖTALANDS LÄN</t>
        </is>
      </c>
      <c r="E14060" t="inlineStr">
        <is>
          <t>TANUM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60768-2022</t>
        </is>
      </c>
      <c r="B14061" s="1" t="n">
        <v>44907</v>
      </c>
      <c r="C14061" s="1" t="n">
        <v>46011</v>
      </c>
      <c r="D14061" t="inlineStr">
        <is>
          <t>VÄSTRA GÖTALANDS LÄN</t>
        </is>
      </c>
      <c r="E14061" t="inlineStr">
        <is>
          <t>STRÖMSTAD</t>
        </is>
      </c>
      <c r="G14061" t="n">
        <v>10</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52237-2021</t>
        </is>
      </c>
      <c r="B14062" s="1" t="n">
        <v>44463.60166666667</v>
      </c>
      <c r="C14062" s="1" t="n">
        <v>46011</v>
      </c>
      <c r="D14062" t="inlineStr">
        <is>
          <t>VÄSTRA GÖTALANDS LÄN</t>
        </is>
      </c>
      <c r="E14062" t="inlineStr">
        <is>
          <t>VARA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52950-2022</t>
        </is>
      </c>
      <c r="B14063" s="1" t="n">
        <v>44875.65717592592</v>
      </c>
      <c r="C14063" s="1" t="n">
        <v>46011</v>
      </c>
      <c r="D14063" t="inlineStr">
        <is>
          <t>VÄSTRA GÖTALANDS LÄN</t>
        </is>
      </c>
      <c r="E14063" t="inlineStr">
        <is>
          <t>STRÖMSTAD</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20125-2023</t>
        </is>
      </c>
      <c r="B14064" s="1" t="n">
        <v>45055.37140046297</v>
      </c>
      <c r="C14064" s="1" t="n">
        <v>46011</v>
      </c>
      <c r="D14064" t="inlineStr">
        <is>
          <t>VÄSTRA GÖTALANDS LÄN</t>
        </is>
      </c>
      <c r="E14064" t="inlineStr">
        <is>
          <t>BENGTSFORS</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43426-2024</t>
        </is>
      </c>
      <c r="B14065" s="1" t="n">
        <v>45568.63729166667</v>
      </c>
      <c r="C14065" s="1" t="n">
        <v>46011</v>
      </c>
      <c r="D14065" t="inlineStr">
        <is>
          <t>VÄSTRA GÖTALANDS LÄN</t>
        </is>
      </c>
      <c r="E14065" t="inlineStr">
        <is>
          <t>UDDEVALLA</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37874-2024</t>
        </is>
      </c>
      <c r="B14066" s="1" t="n">
        <v>45544.4146412037</v>
      </c>
      <c r="C14066" s="1" t="n">
        <v>46011</v>
      </c>
      <c r="D14066" t="inlineStr">
        <is>
          <t>VÄSTRA GÖTALANDS LÄN</t>
        </is>
      </c>
      <c r="E14066" t="inlineStr">
        <is>
          <t>DALS-ED</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39652-2024</t>
        </is>
      </c>
      <c r="B14067" s="1" t="n">
        <v>45552.48734953703</v>
      </c>
      <c r="C14067" s="1" t="n">
        <v>46011</v>
      </c>
      <c r="D14067" t="inlineStr">
        <is>
          <t>VÄSTRA GÖTALANDS LÄN</t>
        </is>
      </c>
      <c r="E14067" t="inlineStr">
        <is>
          <t>TÖREBODA</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31384-2022</t>
        </is>
      </c>
      <c r="B14068" s="1" t="n">
        <v>44774</v>
      </c>
      <c r="C14068" s="1" t="n">
        <v>46011</v>
      </c>
      <c r="D14068" t="inlineStr">
        <is>
          <t>VÄSTRA GÖTALANDS LÄN</t>
        </is>
      </c>
      <c r="E14068" t="inlineStr">
        <is>
          <t>MARIESTAD</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39728-2023</t>
        </is>
      </c>
      <c r="B14069" s="1" t="n">
        <v>45167.63978009259</v>
      </c>
      <c r="C14069" s="1" t="n">
        <v>46011</v>
      </c>
      <c r="D14069" t="inlineStr">
        <is>
          <t>VÄSTRA GÖTALANDS LÄN</t>
        </is>
      </c>
      <c r="E14069" t="inlineStr">
        <is>
          <t>MELLERUD</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48447-2022</t>
        </is>
      </c>
      <c r="B14070" s="1" t="n">
        <v>44858.65266203704</v>
      </c>
      <c r="C14070" s="1" t="n">
        <v>46011</v>
      </c>
      <c r="D14070" t="inlineStr">
        <is>
          <t>VÄSTRA GÖTALANDS LÄN</t>
        </is>
      </c>
      <c r="E14070" t="inlineStr">
        <is>
          <t>ÅMÅL</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8071-2024</t>
        </is>
      </c>
      <c r="B14071" s="1" t="n">
        <v>45351</v>
      </c>
      <c r="C14071" s="1" t="n">
        <v>46011</v>
      </c>
      <c r="D14071" t="inlineStr">
        <is>
          <t>VÄSTRA GÖTALANDS LÄN</t>
        </is>
      </c>
      <c r="E14071" t="inlineStr">
        <is>
          <t>LILLA EDET</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7648-2023</t>
        </is>
      </c>
      <c r="B14072" s="1" t="n">
        <v>44972.59789351852</v>
      </c>
      <c r="C14072" s="1" t="n">
        <v>46011</v>
      </c>
      <c r="D14072" t="inlineStr">
        <is>
          <t>VÄSTRA GÖTALANDS LÄN</t>
        </is>
      </c>
      <c r="E14072" t="inlineStr">
        <is>
          <t>TIDAHOLM</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52673-2023</t>
        </is>
      </c>
      <c r="B14073" s="1" t="n">
        <v>45219</v>
      </c>
      <c r="C14073" s="1" t="n">
        <v>46011</v>
      </c>
      <c r="D14073" t="inlineStr">
        <is>
          <t>VÄSTRA GÖTALANDS LÄN</t>
        </is>
      </c>
      <c r="E14073" t="inlineStr">
        <is>
          <t>MARK</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2398-2024</t>
        </is>
      </c>
      <c r="B14074" s="1" t="n">
        <v>45310</v>
      </c>
      <c r="C14074" s="1" t="n">
        <v>46011</v>
      </c>
      <c r="D14074" t="inlineStr">
        <is>
          <t>VÄSTRA GÖTALANDS LÄN</t>
        </is>
      </c>
      <c r="E14074" t="inlineStr">
        <is>
          <t>BOLLEBYGD</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3095-2024</t>
        </is>
      </c>
      <c r="B14075" s="1" t="n">
        <v>45316</v>
      </c>
      <c r="C14075" s="1" t="n">
        <v>46011</v>
      </c>
      <c r="D14075" t="inlineStr">
        <is>
          <t>VÄSTRA GÖTALANDS LÄN</t>
        </is>
      </c>
      <c r="E14075" t="inlineStr">
        <is>
          <t>BORÅS</t>
        </is>
      </c>
      <c r="G14075" t="n">
        <v>6.3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11724-2024</t>
        </is>
      </c>
      <c r="B14076" s="1" t="n">
        <v>45373.65864583333</v>
      </c>
      <c r="C14076" s="1" t="n">
        <v>46011</v>
      </c>
      <c r="D14076" t="inlineStr">
        <is>
          <t>VÄSTRA GÖTALANDS LÄN</t>
        </is>
      </c>
      <c r="E14076" t="inlineStr">
        <is>
          <t>HERRLJUNGA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3483-2023</t>
        </is>
      </c>
      <c r="B14077" s="1" t="n">
        <v>44949</v>
      </c>
      <c r="C14077" s="1" t="n">
        <v>46011</v>
      </c>
      <c r="D14077" t="inlineStr">
        <is>
          <t>VÄSTRA GÖTALANDS LÄN</t>
        </is>
      </c>
      <c r="E14077" t="inlineStr">
        <is>
          <t>BORÅS</t>
        </is>
      </c>
      <c r="G14077" t="n">
        <v>0.3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37737-2022</t>
        </is>
      </c>
      <c r="B14078" s="1" t="n">
        <v>44810</v>
      </c>
      <c r="C14078" s="1" t="n">
        <v>46011</v>
      </c>
      <c r="D14078" t="inlineStr">
        <is>
          <t>VÄSTRA GÖTALANDS LÄN</t>
        </is>
      </c>
      <c r="E14078" t="inlineStr">
        <is>
          <t>MARK</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29848-2022</t>
        </is>
      </c>
      <c r="B14079" s="1" t="n">
        <v>44756.36030092592</v>
      </c>
      <c r="C14079" s="1" t="n">
        <v>46011</v>
      </c>
      <c r="D14079" t="inlineStr">
        <is>
          <t>VÄSTRA GÖTALANDS LÄN</t>
        </is>
      </c>
      <c r="E14079" t="inlineStr">
        <is>
          <t>MARIESTAD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51111-2024</t>
        </is>
      </c>
      <c r="B14080" s="1" t="n">
        <v>45603.49332175926</v>
      </c>
      <c r="C14080" s="1" t="n">
        <v>46011</v>
      </c>
      <c r="D14080" t="inlineStr">
        <is>
          <t>VÄSTRA GÖTALANDS LÄN</t>
        </is>
      </c>
      <c r="E14080" t="inlineStr">
        <is>
          <t>KARLSBORG</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55183-2024</t>
        </is>
      </c>
      <c r="B14081" s="1" t="n">
        <v>45620</v>
      </c>
      <c r="C14081" s="1" t="n">
        <v>46011</v>
      </c>
      <c r="D14081" t="inlineStr">
        <is>
          <t>VÄSTRA GÖTALANDS LÄN</t>
        </is>
      </c>
      <c r="E14081" t="inlineStr">
        <is>
          <t>MUNKEDAL</t>
        </is>
      </c>
      <c r="G14081" t="n">
        <v>8.699999999999999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58625-2024</t>
        </is>
      </c>
      <c r="B14082" s="1" t="n">
        <v>45635</v>
      </c>
      <c r="C14082" s="1" t="n">
        <v>46011</v>
      </c>
      <c r="D14082" t="inlineStr">
        <is>
          <t>VÄSTRA GÖTALANDS LÄN</t>
        </is>
      </c>
      <c r="E14082" t="inlineStr">
        <is>
          <t>UDDEVALLA</t>
        </is>
      </c>
      <c r="G14082" t="n">
        <v>14.9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6374-2025</t>
        </is>
      </c>
      <c r="B14083" s="1" t="n">
        <v>45699.40152777778</v>
      </c>
      <c r="C14083" s="1" t="n">
        <v>46011</v>
      </c>
      <c r="D14083" t="inlineStr">
        <is>
          <t>VÄSTRA GÖTALANDS LÄN</t>
        </is>
      </c>
      <c r="E14083" t="inlineStr">
        <is>
          <t>BORÅS</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6489-2025</t>
        </is>
      </c>
      <c r="B14084" s="1" t="n">
        <v>45699.62678240741</v>
      </c>
      <c r="C14084" s="1" t="n">
        <v>46011</v>
      </c>
      <c r="D14084" t="inlineStr">
        <is>
          <t>VÄSTRA GÖTALANDS LÄN</t>
        </is>
      </c>
      <c r="E14084" t="inlineStr">
        <is>
          <t>LILLA EDET</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6491-2025</t>
        </is>
      </c>
      <c r="B14085" s="1" t="n">
        <v>45699.62943287037</v>
      </c>
      <c r="C14085" s="1" t="n">
        <v>46011</v>
      </c>
      <c r="D14085" t="inlineStr">
        <is>
          <t>VÄSTRA GÖTALANDS LÄN</t>
        </is>
      </c>
      <c r="E14085" t="inlineStr">
        <is>
          <t>LYSEKIL</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6497-2025</t>
        </is>
      </c>
      <c r="B14086" s="1" t="n">
        <v>45699.63719907407</v>
      </c>
      <c r="C14086" s="1" t="n">
        <v>46011</v>
      </c>
      <c r="D14086" t="inlineStr">
        <is>
          <t>VÄSTRA GÖTALANDS LÄN</t>
        </is>
      </c>
      <c r="E14086" t="inlineStr">
        <is>
          <t>HJO</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52560-2021</t>
        </is>
      </c>
      <c r="B14087" s="1" t="n">
        <v>44466</v>
      </c>
      <c r="C14087" s="1" t="n">
        <v>46011</v>
      </c>
      <c r="D14087" t="inlineStr">
        <is>
          <t>VÄSTRA GÖTALANDS LÄN</t>
        </is>
      </c>
      <c r="E14087" t="inlineStr">
        <is>
          <t>BENGTSFORS</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17095-2023</t>
        </is>
      </c>
      <c r="B14088" s="1" t="n">
        <v>45034</v>
      </c>
      <c r="C14088" s="1" t="n">
        <v>46011</v>
      </c>
      <c r="D14088" t="inlineStr">
        <is>
          <t>VÄSTRA GÖTALANDS LÄN</t>
        </is>
      </c>
      <c r="E14088" t="inlineStr">
        <is>
          <t>BORÅS</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16487-2023</t>
        </is>
      </c>
      <c r="B14089" s="1" t="n">
        <v>45029.58181712963</v>
      </c>
      <c r="C14089" s="1" t="n">
        <v>46011</v>
      </c>
      <c r="D14089" t="inlineStr">
        <is>
          <t>VÄSTRA GÖTALANDS LÄN</t>
        </is>
      </c>
      <c r="E14089" t="inlineStr">
        <is>
          <t>TROLLHÄTTAN</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1030-2022</t>
        </is>
      </c>
      <c r="B14090" s="1" t="n">
        <v>44571</v>
      </c>
      <c r="C14090" s="1" t="n">
        <v>46011</v>
      </c>
      <c r="D14090" t="inlineStr">
        <is>
          <t>VÄSTRA GÖTALANDS LÄN</t>
        </is>
      </c>
      <c r="E14090" t="inlineStr">
        <is>
          <t>FÄRGELANDA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7732-2023</t>
        </is>
      </c>
      <c r="B14091" s="1" t="n">
        <v>44973</v>
      </c>
      <c r="C14091" s="1" t="n">
        <v>46011</v>
      </c>
      <c r="D14091" t="inlineStr">
        <is>
          <t>VÄSTRA GÖTALANDS LÄN</t>
        </is>
      </c>
      <c r="E14091" t="inlineStr">
        <is>
          <t>VÅRGÅRDA</t>
        </is>
      </c>
      <c r="F14091" t="inlineStr">
        <is>
          <t>Sveaskog</t>
        </is>
      </c>
      <c r="G14091" t="n">
        <v>9.300000000000001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11356-2025</t>
        </is>
      </c>
      <c r="B14092" s="1" t="n">
        <v>45726.52880787037</v>
      </c>
      <c r="C14092" s="1" t="n">
        <v>46011</v>
      </c>
      <c r="D14092" t="inlineStr">
        <is>
          <t>VÄSTRA GÖTALANDS LÄN</t>
        </is>
      </c>
      <c r="E14092" t="inlineStr">
        <is>
          <t>ORUST</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11363-2025</t>
        </is>
      </c>
      <c r="B14093" s="1" t="n">
        <v>45726.5418287037</v>
      </c>
      <c r="C14093" s="1" t="n">
        <v>46011</v>
      </c>
      <c r="D14093" t="inlineStr">
        <is>
          <t>VÄSTRA GÖTALANDS LÄN</t>
        </is>
      </c>
      <c r="E14093" t="inlineStr">
        <is>
          <t>SVENLJUNGA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45468-2024</t>
        </is>
      </c>
      <c r="B14094" s="1" t="n">
        <v>45576.71769675926</v>
      </c>
      <c r="C14094" s="1" t="n">
        <v>46011</v>
      </c>
      <c r="D14094" t="inlineStr">
        <is>
          <t>VÄSTRA GÖTALANDS LÄN</t>
        </is>
      </c>
      <c r="E14094" t="inlineStr">
        <is>
          <t>TIDAHOLM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45469-2024</t>
        </is>
      </c>
      <c r="B14095" s="1" t="n">
        <v>45576.73229166667</v>
      </c>
      <c r="C14095" s="1" t="n">
        <v>46011</v>
      </c>
      <c r="D14095" t="inlineStr">
        <is>
          <t>VÄSTRA GÖTALANDS LÄN</t>
        </is>
      </c>
      <c r="E14095" t="inlineStr">
        <is>
          <t>LILLA EDET</t>
        </is>
      </c>
      <c r="G14095" t="n">
        <v>7.2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52852-2024</t>
        </is>
      </c>
      <c r="B14096" s="1" t="n">
        <v>45610.60664351852</v>
      </c>
      <c r="C14096" s="1" t="n">
        <v>46011</v>
      </c>
      <c r="D14096" t="inlineStr">
        <is>
          <t>VÄSTRA GÖTALANDS LÄN</t>
        </is>
      </c>
      <c r="E14096" t="inlineStr">
        <is>
          <t>STRÖMSTAD</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15704-2025</t>
        </is>
      </c>
      <c r="B14097" s="1" t="n">
        <v>45748.4815162037</v>
      </c>
      <c r="C14097" s="1" t="n">
        <v>46011</v>
      </c>
      <c r="D14097" t="inlineStr">
        <is>
          <t>VÄSTRA GÖTALANDS LÄN</t>
        </is>
      </c>
      <c r="E14097" t="inlineStr">
        <is>
          <t>STRÖMSTAD</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38160-2022</t>
        </is>
      </c>
      <c r="B14098" s="1" t="n">
        <v>44812</v>
      </c>
      <c r="C14098" s="1" t="n">
        <v>46011</v>
      </c>
      <c r="D14098" t="inlineStr">
        <is>
          <t>VÄSTRA GÖTALANDS LÄN</t>
        </is>
      </c>
      <c r="E14098" t="inlineStr">
        <is>
          <t>VARA</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50327-2024</t>
        </is>
      </c>
      <c r="B14099" s="1" t="n">
        <v>45600.69061342593</v>
      </c>
      <c r="C14099" s="1" t="n">
        <v>46011</v>
      </c>
      <c r="D14099" t="inlineStr">
        <is>
          <t>VÄSTRA GÖTALANDS LÄN</t>
        </is>
      </c>
      <c r="E14099" t="inlineStr">
        <is>
          <t>MARIESTAD</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32774-2023</t>
        </is>
      </c>
      <c r="B14100" s="1" t="n">
        <v>45123.83592592592</v>
      </c>
      <c r="C14100" s="1" t="n">
        <v>46011</v>
      </c>
      <c r="D14100" t="inlineStr">
        <is>
          <t>VÄSTRA GÖTALANDS LÄN</t>
        </is>
      </c>
      <c r="E14100" t="inlineStr">
        <is>
          <t>FALKÖPING</t>
        </is>
      </c>
      <c r="G14100" t="n">
        <v>5.9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14544-2025</t>
        </is>
      </c>
      <c r="B14101" s="1" t="n">
        <v>45741.69476851852</v>
      </c>
      <c r="C14101" s="1" t="n">
        <v>46011</v>
      </c>
      <c r="D14101" t="inlineStr">
        <is>
          <t>VÄSTRA GÖTALANDS LÄN</t>
        </is>
      </c>
      <c r="E14101" t="inlineStr">
        <is>
          <t>TANUM</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43384-2023</t>
        </is>
      </c>
      <c r="B14102" s="1" t="n">
        <v>45183.85680555556</v>
      </c>
      <c r="C14102" s="1" t="n">
        <v>46011</v>
      </c>
      <c r="D14102" t="inlineStr">
        <is>
          <t>VÄSTRA GÖTALANDS LÄN</t>
        </is>
      </c>
      <c r="E14102" t="inlineStr">
        <is>
          <t>VÅRGÅRDA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1956-2023</t>
        </is>
      </c>
      <c r="B14103" s="1" t="n">
        <v>44924</v>
      </c>
      <c r="C14103" s="1" t="n">
        <v>46011</v>
      </c>
      <c r="D14103" t="inlineStr">
        <is>
          <t>VÄSTRA GÖTALANDS LÄN</t>
        </is>
      </c>
      <c r="E14103" t="inlineStr">
        <is>
          <t>UDDEVALLA</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62190-2023</t>
        </is>
      </c>
      <c r="B14104" s="1" t="n">
        <v>45267.45762731481</v>
      </c>
      <c r="C14104" s="1" t="n">
        <v>46011</v>
      </c>
      <c r="D14104" t="inlineStr">
        <is>
          <t>VÄSTRA GÖTALANDS LÄN</t>
        </is>
      </c>
      <c r="E14104" t="inlineStr">
        <is>
          <t>BENGTSFORS</t>
        </is>
      </c>
      <c r="G14104" t="n">
        <v>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63094-2023</t>
        </is>
      </c>
      <c r="B14105" s="1" t="n">
        <v>45273</v>
      </c>
      <c r="C14105" s="1" t="n">
        <v>46011</v>
      </c>
      <c r="D14105" t="inlineStr">
        <is>
          <t>VÄSTRA GÖTALANDS LÄN</t>
        </is>
      </c>
      <c r="E14105" t="inlineStr">
        <is>
          <t>ULRICEHAMN</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63113-2023</t>
        </is>
      </c>
      <c r="B14106" s="1" t="n">
        <v>45273.43495370371</v>
      </c>
      <c r="C14106" s="1" t="n">
        <v>46011</v>
      </c>
      <c r="D14106" t="inlineStr">
        <is>
          <t>VÄSTRA GÖTALANDS LÄN</t>
        </is>
      </c>
      <c r="E14106" t="inlineStr">
        <is>
          <t>TÖREBODA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63132-2023</t>
        </is>
      </c>
      <c r="B14107" s="1" t="n">
        <v>45273.460625</v>
      </c>
      <c r="C14107" s="1" t="n">
        <v>46011</v>
      </c>
      <c r="D14107" t="inlineStr">
        <is>
          <t>VÄSTRA GÖTALANDS LÄN</t>
        </is>
      </c>
      <c r="E14107" t="inlineStr">
        <is>
          <t>TANUM</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7223-2025</t>
        </is>
      </c>
      <c r="B14108" s="1" t="n">
        <v>45702.48797453703</v>
      </c>
      <c r="C14108" s="1" t="n">
        <v>46011</v>
      </c>
      <c r="D14108" t="inlineStr">
        <is>
          <t>VÄSTRA GÖTALANDS LÄN</t>
        </is>
      </c>
      <c r="E14108" t="inlineStr">
        <is>
          <t>LIDKÖPING</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6684-2025</t>
        </is>
      </c>
      <c r="B14109" s="1" t="n">
        <v>45700.48887731481</v>
      </c>
      <c r="C14109" s="1" t="n">
        <v>46011</v>
      </c>
      <c r="D14109" t="inlineStr">
        <is>
          <t>VÄSTRA GÖTALANDS LÄN</t>
        </is>
      </c>
      <c r="E14109" t="inlineStr">
        <is>
          <t>TRANEMO</t>
        </is>
      </c>
      <c r="G14109" t="n">
        <v>5.3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34715-2023</t>
        </is>
      </c>
      <c r="B14110" s="1" t="n">
        <v>45141</v>
      </c>
      <c r="C14110" s="1" t="n">
        <v>46011</v>
      </c>
      <c r="D14110" t="inlineStr">
        <is>
          <t>VÄSTRA GÖTALANDS LÄN</t>
        </is>
      </c>
      <c r="E14110" t="inlineStr">
        <is>
          <t>FÄRGELANDA</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42661-2021</t>
        </is>
      </c>
      <c r="B14111" s="1" t="n">
        <v>44428</v>
      </c>
      <c r="C14111" s="1" t="n">
        <v>46011</v>
      </c>
      <c r="D14111" t="inlineStr">
        <is>
          <t>VÄSTRA GÖTALANDS LÄN</t>
        </is>
      </c>
      <c r="E14111" t="inlineStr">
        <is>
          <t>KARLSBORG</t>
        </is>
      </c>
      <c r="F14111" t="inlineStr">
        <is>
          <t>Kyrkan</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61626-2024</t>
        </is>
      </c>
      <c r="B14112" s="1" t="n">
        <v>45646.66194444444</v>
      </c>
      <c r="C14112" s="1" t="n">
        <v>46011</v>
      </c>
      <c r="D14112" t="inlineStr">
        <is>
          <t>VÄSTRA GÖTALANDS LÄN</t>
        </is>
      </c>
      <c r="E14112" t="inlineStr">
        <is>
          <t>STRÖMSTAD</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16442-2024</t>
        </is>
      </c>
      <c r="B14113" s="1" t="n">
        <v>45407.74482638889</v>
      </c>
      <c r="C14113" s="1" t="n">
        <v>46011</v>
      </c>
      <c r="D14113" t="inlineStr">
        <is>
          <t>VÄSTRA GÖTALANDS LÄN</t>
        </is>
      </c>
      <c r="E14113" t="inlineStr">
        <is>
          <t>TRANEMO</t>
        </is>
      </c>
      <c r="G14113" t="n">
        <v>10.4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61457-2024</t>
        </is>
      </c>
      <c r="B14114" s="1" t="n">
        <v>45646.49675925926</v>
      </c>
      <c r="C14114" s="1" t="n">
        <v>46011</v>
      </c>
      <c r="D14114" t="inlineStr">
        <is>
          <t>VÄSTRA GÖTALANDS LÄN</t>
        </is>
      </c>
      <c r="E14114" t="inlineStr">
        <is>
          <t>FALKÖPING</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8315-2024</t>
        </is>
      </c>
      <c r="B14115" s="1" t="n">
        <v>45350</v>
      </c>
      <c r="C14115" s="1" t="n">
        <v>46011</v>
      </c>
      <c r="D14115" t="inlineStr">
        <is>
          <t>VÄSTRA GÖTALANDS LÄN</t>
        </is>
      </c>
      <c r="E14115" t="inlineStr">
        <is>
          <t>TÖREBODA</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18927-2022</t>
        </is>
      </c>
      <c r="B14116" s="1" t="n">
        <v>44690.64334490741</v>
      </c>
      <c r="C14116" s="1" t="n">
        <v>46011</v>
      </c>
      <c r="D14116" t="inlineStr">
        <is>
          <t>VÄSTRA GÖTALANDS LÄN</t>
        </is>
      </c>
      <c r="E14116" t="inlineStr">
        <is>
          <t>FALKÖPING</t>
        </is>
      </c>
      <c r="F14116" t="inlineStr">
        <is>
          <t>Kommuner</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1678-2025</t>
        </is>
      </c>
      <c r="B14117" s="1" t="n">
        <v>45670.69351851852</v>
      </c>
      <c r="C14117" s="1" t="n">
        <v>46011</v>
      </c>
      <c r="D14117" t="inlineStr">
        <is>
          <t>VÄSTRA GÖTALANDS LÄN</t>
        </is>
      </c>
      <c r="E14117" t="inlineStr">
        <is>
          <t>FÄRGELANDA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18851-2024</t>
        </is>
      </c>
      <c r="B14118" s="1" t="n">
        <v>45426.69</v>
      </c>
      <c r="C14118" s="1" t="n">
        <v>46011</v>
      </c>
      <c r="D14118" t="inlineStr">
        <is>
          <t>VÄSTRA GÖTALANDS LÄN</t>
        </is>
      </c>
      <c r="E14118" t="inlineStr">
        <is>
          <t>KUNGÄLV</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51154-2023</t>
        </is>
      </c>
      <c r="B14119" s="1" t="n">
        <v>45219</v>
      </c>
      <c r="C14119" s="1" t="n">
        <v>46011</v>
      </c>
      <c r="D14119" t="inlineStr">
        <is>
          <t>VÄSTRA GÖTALANDS LÄN</t>
        </is>
      </c>
      <c r="E14119" t="inlineStr">
        <is>
          <t>HÄRRYDA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51173-2023</t>
        </is>
      </c>
      <c r="B14120" s="1" t="n">
        <v>45212</v>
      </c>
      <c r="C14120" s="1" t="n">
        <v>46011</v>
      </c>
      <c r="D14120" t="inlineStr">
        <is>
          <t>VÄSTRA GÖTALANDS LÄN</t>
        </is>
      </c>
      <c r="E14120" t="inlineStr">
        <is>
          <t>MELLERUD</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46009-2024</t>
        </is>
      </c>
      <c r="B14121" s="1" t="n">
        <v>45580.67303240741</v>
      </c>
      <c r="C14121" s="1" t="n">
        <v>46011</v>
      </c>
      <c r="D14121" t="inlineStr">
        <is>
          <t>VÄSTRA GÖTALANDS LÄN</t>
        </is>
      </c>
      <c r="E14121" t="inlineStr">
        <is>
          <t>TIDAHOLM</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64669-2023</t>
        </is>
      </c>
      <c r="B14122" s="1" t="n">
        <v>45281</v>
      </c>
      <c r="C14122" s="1" t="n">
        <v>46011</v>
      </c>
      <c r="D14122" t="inlineStr">
        <is>
          <t>VÄSTRA GÖTALANDS LÄN</t>
        </is>
      </c>
      <c r="E14122" t="inlineStr">
        <is>
          <t>TROLLHÄTTAN</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56922-2024</t>
        </is>
      </c>
      <c r="B14123" s="1" t="n">
        <v>45628</v>
      </c>
      <c r="C14123" s="1" t="n">
        <v>46011</v>
      </c>
      <c r="D14123" t="inlineStr">
        <is>
          <t>VÄSTRA GÖTALANDS LÄN</t>
        </is>
      </c>
      <c r="E14123" t="inlineStr">
        <is>
          <t>SKARA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3178-2024</t>
        </is>
      </c>
      <c r="B14124" s="1" t="n">
        <v>45316</v>
      </c>
      <c r="C14124" s="1" t="n">
        <v>46011</v>
      </c>
      <c r="D14124" t="inlineStr">
        <is>
          <t>VÄSTRA GÖTALANDS LÄN</t>
        </is>
      </c>
      <c r="E14124" t="inlineStr">
        <is>
          <t>STRÖMSTAD</t>
        </is>
      </c>
      <c r="F14124" t="inlineStr">
        <is>
          <t>Kommuner</t>
        </is>
      </c>
      <c r="G14124" t="n">
        <v>8.6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37783-2023</t>
        </is>
      </c>
      <c r="B14125" s="1" t="n">
        <v>45159</v>
      </c>
      <c r="C14125" s="1" t="n">
        <v>46011</v>
      </c>
      <c r="D14125" t="inlineStr">
        <is>
          <t>VÄSTRA GÖTALANDS LÄN</t>
        </is>
      </c>
      <c r="E14125" t="inlineStr">
        <is>
          <t>FÄRGELANDA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61249-2024</t>
        </is>
      </c>
      <c r="B14126" s="1" t="n">
        <v>45645.69321759259</v>
      </c>
      <c r="C14126" s="1" t="n">
        <v>46011</v>
      </c>
      <c r="D14126" t="inlineStr">
        <is>
          <t>VÄSTRA GÖTALANDS LÄN</t>
        </is>
      </c>
      <c r="E14126" t="inlineStr">
        <is>
          <t>STRÖMSTAD</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28257-2024</t>
        </is>
      </c>
      <c r="B14127" s="1" t="n">
        <v>45477.42391203704</v>
      </c>
      <c r="C14127" s="1" t="n">
        <v>46011</v>
      </c>
      <c r="D14127" t="inlineStr">
        <is>
          <t>VÄSTRA GÖTALANDS LÄN</t>
        </is>
      </c>
      <c r="E14127" t="inlineStr">
        <is>
          <t>MARK</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60986-2023</t>
        </is>
      </c>
      <c r="B14128" s="1" t="n">
        <v>45261.48627314815</v>
      </c>
      <c r="C14128" s="1" t="n">
        <v>46011</v>
      </c>
      <c r="D14128" t="inlineStr">
        <is>
          <t>VÄSTRA GÖTALANDS LÄN</t>
        </is>
      </c>
      <c r="E14128" t="inlineStr">
        <is>
          <t>ULRICEHAMN</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6360-2023</t>
        </is>
      </c>
      <c r="B14129" s="1" t="n">
        <v>44965</v>
      </c>
      <c r="C14129" s="1" t="n">
        <v>46011</v>
      </c>
      <c r="D14129" t="inlineStr">
        <is>
          <t>VÄSTRA GÖTALANDS LÄN</t>
        </is>
      </c>
      <c r="E14129" t="inlineStr">
        <is>
          <t>GULLSPÅNG</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1025-2023</t>
        </is>
      </c>
      <c r="B14130" s="1" t="n">
        <v>44929</v>
      </c>
      <c r="C14130" s="1" t="n">
        <v>46011</v>
      </c>
      <c r="D14130" t="inlineStr">
        <is>
          <t>VÄSTRA GÖTALANDS LÄN</t>
        </is>
      </c>
      <c r="E14130" t="inlineStr">
        <is>
          <t>BENGTSFORS</t>
        </is>
      </c>
      <c r="F14130" t="inlineStr">
        <is>
          <t>Kyrkan</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21389-2023</t>
        </is>
      </c>
      <c r="B14131" s="1" t="n">
        <v>45063</v>
      </c>
      <c r="C14131" s="1" t="n">
        <v>46011</v>
      </c>
      <c r="D14131" t="inlineStr">
        <is>
          <t>VÄSTRA GÖTALANDS LÄN</t>
        </is>
      </c>
      <c r="E14131" t="inlineStr">
        <is>
          <t>KUNGÄLV</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22055-2023</t>
        </is>
      </c>
      <c r="B14132" s="1" t="n">
        <v>45069.41737268519</v>
      </c>
      <c r="C14132" s="1" t="n">
        <v>46011</v>
      </c>
      <c r="D14132" t="inlineStr">
        <is>
          <t>VÄSTRA GÖTALANDS LÄN</t>
        </is>
      </c>
      <c r="E14132" t="inlineStr">
        <is>
          <t>GÖTENE</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369-2023</t>
        </is>
      </c>
      <c r="B14133" s="1" t="n">
        <v>44929</v>
      </c>
      <c r="C14133" s="1" t="n">
        <v>46011</v>
      </c>
      <c r="D14133" t="inlineStr">
        <is>
          <t>VÄSTRA GÖTALANDS LÄN</t>
        </is>
      </c>
      <c r="E14133" t="inlineStr">
        <is>
          <t>VÄNERSBORG</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8701-2023</t>
        </is>
      </c>
      <c r="B14134" s="1" t="n">
        <v>44978.35130787037</v>
      </c>
      <c r="C14134" s="1" t="n">
        <v>46011</v>
      </c>
      <c r="D14134" t="inlineStr">
        <is>
          <t>VÄSTRA GÖTALANDS LÄN</t>
        </is>
      </c>
      <c r="E14134" t="inlineStr">
        <is>
          <t>SKARA</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406-2024</t>
        </is>
      </c>
      <c r="B14135" s="1" t="n">
        <v>45296</v>
      </c>
      <c r="C14135" s="1" t="n">
        <v>46011</v>
      </c>
      <c r="D14135" t="inlineStr">
        <is>
          <t>VÄSTRA GÖTALANDS LÄN</t>
        </is>
      </c>
      <c r="E14135" t="inlineStr">
        <is>
          <t>LILLA EDET</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37059-2023</t>
        </is>
      </c>
      <c r="B14136" s="1" t="n">
        <v>45155.44679398148</v>
      </c>
      <c r="C14136" s="1" t="n">
        <v>46011</v>
      </c>
      <c r="D14136" t="inlineStr">
        <is>
          <t>VÄSTRA GÖTALANDS LÄN</t>
        </is>
      </c>
      <c r="E14136" t="inlineStr">
        <is>
          <t>TRANEMO</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27606-2023</t>
        </is>
      </c>
      <c r="B14137" s="1" t="n">
        <v>45097</v>
      </c>
      <c r="C14137" s="1" t="n">
        <v>46011</v>
      </c>
      <c r="D14137" t="inlineStr">
        <is>
          <t>VÄSTRA GÖTALANDS LÄN</t>
        </is>
      </c>
      <c r="E14137" t="inlineStr">
        <is>
          <t>FALKÖPING</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38073-2023</t>
        </is>
      </c>
      <c r="B14138" s="1" t="n">
        <v>45160.77502314815</v>
      </c>
      <c r="C14138" s="1" t="n">
        <v>46011</v>
      </c>
      <c r="D14138" t="inlineStr">
        <is>
          <t>VÄSTRA GÖTALANDS LÄN</t>
        </is>
      </c>
      <c r="E14138" t="inlineStr">
        <is>
          <t>KARLSBORG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38074-2023</t>
        </is>
      </c>
      <c r="B14139" s="1" t="n">
        <v>45160.78711805555</v>
      </c>
      <c r="C14139" s="1" t="n">
        <v>46011</v>
      </c>
      <c r="D14139" t="inlineStr">
        <is>
          <t>VÄSTRA GÖTALANDS LÄN</t>
        </is>
      </c>
      <c r="E14139" t="inlineStr">
        <is>
          <t>BOLLEBYGD</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41360-2024</t>
        </is>
      </c>
      <c r="B14140" s="1" t="n">
        <v>45559.7225</v>
      </c>
      <c r="C14140" s="1" t="n">
        <v>46011</v>
      </c>
      <c r="D14140" t="inlineStr">
        <is>
          <t>VÄSTRA GÖTALANDS LÄN</t>
        </is>
      </c>
      <c r="E14140" t="inlineStr">
        <is>
          <t>BENGTSFORS</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64282-2023</t>
        </is>
      </c>
      <c r="B14141" s="1" t="n">
        <v>45280.31978009259</v>
      </c>
      <c r="C14141" s="1" t="n">
        <v>46011</v>
      </c>
      <c r="D14141" t="inlineStr">
        <is>
          <t>VÄSTRA GÖTALANDS LÄN</t>
        </is>
      </c>
      <c r="E14141" t="inlineStr">
        <is>
          <t>ULRICEHAMN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138-2022</t>
        </is>
      </c>
      <c r="B14142" s="1" t="n">
        <v>44560</v>
      </c>
      <c r="C14142" s="1" t="n">
        <v>46011</v>
      </c>
      <c r="D14142" t="inlineStr">
        <is>
          <t>VÄSTRA GÖTALANDS LÄN</t>
        </is>
      </c>
      <c r="E14142" t="inlineStr">
        <is>
          <t>HJO</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64390-2023</t>
        </is>
      </c>
      <c r="B14143" s="1" t="n">
        <v>45280.59041666667</v>
      </c>
      <c r="C14143" s="1" t="n">
        <v>46011</v>
      </c>
      <c r="D14143" t="inlineStr">
        <is>
          <t>VÄSTRA GÖTALANDS LÄN</t>
        </is>
      </c>
      <c r="E14143" t="inlineStr">
        <is>
          <t>FÄRGELANDA</t>
        </is>
      </c>
      <c r="G14143" t="n">
        <v>7.4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46579-2024</t>
        </is>
      </c>
      <c r="B14144" s="1" t="n">
        <v>45582.75018518518</v>
      </c>
      <c r="C14144" s="1" t="n">
        <v>46011</v>
      </c>
      <c r="D14144" t="inlineStr">
        <is>
          <t>VÄSTRA GÖTALANDS LÄN</t>
        </is>
      </c>
      <c r="E14144" t="inlineStr">
        <is>
          <t>SOTENÄS</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44669-2023</t>
        </is>
      </c>
      <c r="B14145" s="1" t="n">
        <v>45189</v>
      </c>
      <c r="C14145" s="1" t="n">
        <v>46011</v>
      </c>
      <c r="D14145" t="inlineStr">
        <is>
          <t>VÄSTRA GÖTALANDS LÄN</t>
        </is>
      </c>
      <c r="E14145" t="inlineStr">
        <is>
          <t>VÅRGÅRDA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4037-2025</t>
        </is>
      </c>
      <c r="B14146" s="1" t="n">
        <v>45684.59990740741</v>
      </c>
      <c r="C14146" s="1" t="n">
        <v>46011</v>
      </c>
      <c r="D14146" t="inlineStr">
        <is>
          <t>VÄSTRA GÖTALANDS LÄN</t>
        </is>
      </c>
      <c r="E14146" t="inlineStr">
        <is>
          <t>UDDEVALLA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4054-2025</t>
        </is>
      </c>
      <c r="B14147" s="1" t="n">
        <v>45684.61994212963</v>
      </c>
      <c r="C14147" s="1" t="n">
        <v>46011</v>
      </c>
      <c r="D14147" t="inlineStr">
        <is>
          <t>VÄSTRA GÖTALANDS LÄN</t>
        </is>
      </c>
      <c r="E14147" t="inlineStr">
        <is>
          <t>MELLERUD</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2560-2025</t>
        </is>
      </c>
      <c r="B14148" s="1" t="n">
        <v>45674.65513888889</v>
      </c>
      <c r="C14148" s="1" t="n">
        <v>46011</v>
      </c>
      <c r="D14148" t="inlineStr">
        <is>
          <t>VÄSTRA GÖTALANDS LÄN</t>
        </is>
      </c>
      <c r="E14148" t="inlineStr">
        <is>
          <t>MUNKEDAL</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27853-2023</t>
        </is>
      </c>
      <c r="B14149" s="1" t="n">
        <v>45098.5687962963</v>
      </c>
      <c r="C14149" s="1" t="n">
        <v>46011</v>
      </c>
      <c r="D14149" t="inlineStr">
        <is>
          <t>VÄSTRA GÖTALANDS LÄN</t>
        </is>
      </c>
      <c r="E14149" t="inlineStr">
        <is>
          <t>ÅMÅL</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54183-2024</t>
        </is>
      </c>
      <c r="B14150" s="1" t="n">
        <v>45616.63967592592</v>
      </c>
      <c r="C14150" s="1" t="n">
        <v>46011</v>
      </c>
      <c r="D14150" t="inlineStr">
        <is>
          <t>VÄSTRA GÖTALANDS LÄN</t>
        </is>
      </c>
      <c r="E14150" t="inlineStr">
        <is>
          <t>DALS-ED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13160-2025</t>
        </is>
      </c>
      <c r="B14151" s="1" t="n">
        <v>45735.36002314815</v>
      </c>
      <c r="C14151" s="1" t="n">
        <v>46011</v>
      </c>
      <c r="D14151" t="inlineStr">
        <is>
          <t>VÄSTRA GÖTALANDS LÄN</t>
        </is>
      </c>
      <c r="E14151" t="inlineStr">
        <is>
          <t>ULRICEHAMN</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14593-2022</t>
        </is>
      </c>
      <c r="B14152" s="1" t="n">
        <v>44655.57246527778</v>
      </c>
      <c r="C14152" s="1" t="n">
        <v>46011</v>
      </c>
      <c r="D14152" t="inlineStr">
        <is>
          <t>VÄSTRA GÖTALANDS LÄN</t>
        </is>
      </c>
      <c r="E14152" t="inlineStr">
        <is>
          <t>VARA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14596-2022</t>
        </is>
      </c>
      <c r="B14153" s="1" t="n">
        <v>44655</v>
      </c>
      <c r="C14153" s="1" t="n">
        <v>46011</v>
      </c>
      <c r="D14153" t="inlineStr">
        <is>
          <t>VÄSTRA GÖTALANDS LÄN</t>
        </is>
      </c>
      <c r="E14153" t="inlineStr">
        <is>
          <t>MELLERUD</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60559-2024</t>
        </is>
      </c>
      <c r="B14154" s="1" t="n">
        <v>45643.99405092592</v>
      </c>
      <c r="C14154" s="1" t="n">
        <v>46011</v>
      </c>
      <c r="D14154" t="inlineStr">
        <is>
          <t>VÄSTRA GÖTALANDS LÄN</t>
        </is>
      </c>
      <c r="E14154" t="inlineStr">
        <is>
          <t>FALKÖPING</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54760-2024</t>
        </is>
      </c>
      <c r="B14155" s="1" t="n">
        <v>45618.46125</v>
      </c>
      <c r="C14155" s="1" t="n">
        <v>46011</v>
      </c>
      <c r="D14155" t="inlineStr">
        <is>
          <t>VÄSTRA GÖTALANDS LÄN</t>
        </is>
      </c>
      <c r="E14155" t="inlineStr">
        <is>
          <t>MUNKEDAL</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2614-2025</t>
        </is>
      </c>
      <c r="B14156" s="1" t="n">
        <v>45675.38304398148</v>
      </c>
      <c r="C14156" s="1" t="n">
        <v>46011</v>
      </c>
      <c r="D14156" t="inlineStr">
        <is>
          <t>VÄSTRA GÖTALANDS LÄN</t>
        </is>
      </c>
      <c r="E14156" t="inlineStr">
        <is>
          <t>BORÅS</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4686-2025</t>
        </is>
      </c>
      <c r="B14157" s="1" t="n">
        <v>45688.31125</v>
      </c>
      <c r="C14157" s="1" t="n">
        <v>46011</v>
      </c>
      <c r="D14157" t="inlineStr">
        <is>
          <t>VÄSTRA GÖTALANDS LÄN</t>
        </is>
      </c>
      <c r="E14157" t="inlineStr">
        <is>
          <t>TRANEMO</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4287-2025</t>
        </is>
      </c>
      <c r="B14158" s="1" t="n">
        <v>45685.65405092593</v>
      </c>
      <c r="C14158" s="1" t="n">
        <v>46011</v>
      </c>
      <c r="D14158" t="inlineStr">
        <is>
          <t>VÄSTRA GÖTALANDS LÄN</t>
        </is>
      </c>
      <c r="E14158" t="inlineStr">
        <is>
          <t>HERRLJUNGA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51776-2023</t>
        </is>
      </c>
      <c r="B14159" s="1" t="n">
        <v>45222.73658564815</v>
      </c>
      <c r="C14159" s="1" t="n">
        <v>46011</v>
      </c>
      <c r="D14159" t="inlineStr">
        <is>
          <t>VÄSTRA GÖTALANDS LÄN</t>
        </is>
      </c>
      <c r="E14159" t="inlineStr">
        <is>
          <t>MARIESTAD</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8797-2025</t>
        </is>
      </c>
      <c r="B14160" s="1" t="n">
        <v>45712.64800925926</v>
      </c>
      <c r="C14160" s="1" t="n">
        <v>46011</v>
      </c>
      <c r="D14160" t="inlineStr">
        <is>
          <t>VÄSTRA GÖTALANDS LÄN</t>
        </is>
      </c>
      <c r="E14160" t="inlineStr">
        <is>
          <t>BENGTSFORS</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24476-2023</t>
        </is>
      </c>
      <c r="B14161" s="1" t="n">
        <v>45082</v>
      </c>
      <c r="C14161" s="1" t="n">
        <v>46011</v>
      </c>
      <c r="D14161" t="inlineStr">
        <is>
          <t>VÄSTRA GÖTALANDS LÄN</t>
        </is>
      </c>
      <c r="E14161" t="inlineStr">
        <is>
          <t>SKÖVDE</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60016-2023</t>
        </is>
      </c>
      <c r="B14162" s="1" t="n">
        <v>45258.26849537037</v>
      </c>
      <c r="C14162" s="1" t="n">
        <v>46011</v>
      </c>
      <c r="D14162" t="inlineStr">
        <is>
          <t>VÄSTRA GÖTALANDS LÄN</t>
        </is>
      </c>
      <c r="E14162" t="inlineStr">
        <is>
          <t>ULRICEHAMN</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60091-2023</t>
        </is>
      </c>
      <c r="B14163" s="1" t="n">
        <v>45258.44322916667</v>
      </c>
      <c r="C14163" s="1" t="n">
        <v>46011</v>
      </c>
      <c r="D14163" t="inlineStr">
        <is>
          <t>VÄSTRA GÖTALANDS LÄN</t>
        </is>
      </c>
      <c r="E14163" t="inlineStr">
        <is>
          <t>GULLSPÅNG</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47148-2023</t>
        </is>
      </c>
      <c r="B14164" s="1" t="n">
        <v>45201</v>
      </c>
      <c r="C14164" s="1" t="n">
        <v>46011</v>
      </c>
      <c r="D14164" t="inlineStr">
        <is>
          <t>VÄSTRA GÖTALANDS LÄN</t>
        </is>
      </c>
      <c r="E14164" t="inlineStr">
        <is>
          <t>MARK</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8761-2024</t>
        </is>
      </c>
      <c r="B14165" s="1" t="n">
        <v>45355</v>
      </c>
      <c r="C14165" s="1" t="n">
        <v>46011</v>
      </c>
      <c r="D14165" t="inlineStr">
        <is>
          <t>VÄSTRA GÖTALANDS LÄN</t>
        </is>
      </c>
      <c r="E14165" t="inlineStr">
        <is>
          <t>MUNKEDAL</t>
        </is>
      </c>
      <c r="G14165" t="n">
        <v>6.5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57220-2023</t>
        </is>
      </c>
      <c r="B14166" s="1" t="n">
        <v>45245.5027662037</v>
      </c>
      <c r="C14166" s="1" t="n">
        <v>46011</v>
      </c>
      <c r="D14166" t="inlineStr">
        <is>
          <t>VÄSTRA GÖTALANDS LÄN</t>
        </is>
      </c>
      <c r="E14166" t="inlineStr">
        <is>
          <t>TÖREBODA</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4519-2024</t>
        </is>
      </c>
      <c r="B14167" s="1" t="n">
        <v>45327</v>
      </c>
      <c r="C14167" s="1" t="n">
        <v>46011</v>
      </c>
      <c r="D14167" t="inlineStr">
        <is>
          <t>VÄSTRA GÖTALANDS LÄN</t>
        </is>
      </c>
      <c r="E14167" t="inlineStr">
        <is>
          <t>HERRLJUNGA</t>
        </is>
      </c>
      <c r="G14167" t="n">
        <v>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9496-2024</t>
        </is>
      </c>
      <c r="B14168" s="1" t="n">
        <v>45359.59423611111</v>
      </c>
      <c r="C14168" s="1" t="n">
        <v>46011</v>
      </c>
      <c r="D14168" t="inlineStr">
        <is>
          <t>VÄSTRA GÖTALANDS LÄN</t>
        </is>
      </c>
      <c r="E14168" t="inlineStr">
        <is>
          <t>MARK</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59530-2022</t>
        </is>
      </c>
      <c r="B14169" s="1" t="n">
        <v>44907.55690972223</v>
      </c>
      <c r="C14169" s="1" t="n">
        <v>46011</v>
      </c>
      <c r="D14169" t="inlineStr">
        <is>
          <t>VÄSTRA GÖTALANDS LÄN</t>
        </is>
      </c>
      <c r="E14169" t="inlineStr">
        <is>
          <t>DALS-ED</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24494-2023</t>
        </is>
      </c>
      <c r="B14170" s="1" t="n">
        <v>45082</v>
      </c>
      <c r="C14170" s="1" t="n">
        <v>46011</v>
      </c>
      <c r="D14170" t="inlineStr">
        <is>
          <t>VÄSTRA GÖTALANDS LÄN</t>
        </is>
      </c>
      <c r="E14170" t="inlineStr">
        <is>
          <t>HERRLJUNGA</t>
        </is>
      </c>
      <c r="F14170" t="inlineStr">
        <is>
          <t>Sveaskog</t>
        </is>
      </c>
      <c r="G14170" t="n">
        <v>6.8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31453-2023</t>
        </is>
      </c>
      <c r="B14171" s="1" t="n">
        <v>45114</v>
      </c>
      <c r="C14171" s="1" t="n">
        <v>46011</v>
      </c>
      <c r="D14171" t="inlineStr">
        <is>
          <t>VÄSTRA GÖTALANDS LÄN</t>
        </is>
      </c>
      <c r="E14171" t="inlineStr">
        <is>
          <t>SVENLJUNGA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5655-2024</t>
        </is>
      </c>
      <c r="B14172" s="1" t="n">
        <v>45334.63966435185</v>
      </c>
      <c r="C14172" s="1" t="n">
        <v>46011</v>
      </c>
      <c r="D14172" t="inlineStr">
        <is>
          <t>VÄSTRA GÖTALANDS LÄN</t>
        </is>
      </c>
      <c r="E14172" t="inlineStr">
        <is>
          <t>TANUM</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5667-2024</t>
        </is>
      </c>
      <c r="B14173" s="1" t="n">
        <v>45334.65969907407</v>
      </c>
      <c r="C14173" s="1" t="n">
        <v>46011</v>
      </c>
      <c r="D14173" t="inlineStr">
        <is>
          <t>VÄSTRA GÖTALANDS LÄN</t>
        </is>
      </c>
      <c r="E14173" t="inlineStr">
        <is>
          <t>TRANEMO</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1741-2022</t>
        </is>
      </c>
      <c r="B14174" s="1" t="n">
        <v>44574.50385416667</v>
      </c>
      <c r="C14174" s="1" t="n">
        <v>46011</v>
      </c>
      <c r="D14174" t="inlineStr">
        <is>
          <t>VÄSTRA GÖTALANDS LÄN</t>
        </is>
      </c>
      <c r="E14174" t="inlineStr">
        <is>
          <t>SVENLJUNGA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12693-2024</t>
        </is>
      </c>
      <c r="B14175" s="1" t="n">
        <v>45384.43790509259</v>
      </c>
      <c r="C14175" s="1" t="n">
        <v>46011</v>
      </c>
      <c r="D14175" t="inlineStr">
        <is>
          <t>VÄSTRA GÖTALANDS LÄN</t>
        </is>
      </c>
      <c r="E14175" t="inlineStr">
        <is>
          <t>DALS-ED</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55303-2022</t>
        </is>
      </c>
      <c r="B14176" s="1" t="n">
        <v>44887</v>
      </c>
      <c r="C14176" s="1" t="n">
        <v>46011</v>
      </c>
      <c r="D14176" t="inlineStr">
        <is>
          <t>VÄSTRA GÖTALANDS LÄN</t>
        </is>
      </c>
      <c r="E14176" t="inlineStr">
        <is>
          <t>TROLLHÄTTAN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44176-2023</t>
        </is>
      </c>
      <c r="B14177" s="1" t="n">
        <v>45188</v>
      </c>
      <c r="C14177" s="1" t="n">
        <v>46011</v>
      </c>
      <c r="D14177" t="inlineStr">
        <is>
          <t>VÄSTRA GÖTALANDS LÄN</t>
        </is>
      </c>
      <c r="E14177" t="inlineStr">
        <is>
          <t>KUNGÄLV</t>
        </is>
      </c>
      <c r="G14177" t="n">
        <v>7.1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3469-2023</t>
        </is>
      </c>
      <c r="B14178" s="1" t="n">
        <v>44949</v>
      </c>
      <c r="C14178" s="1" t="n">
        <v>46011</v>
      </c>
      <c r="D14178" t="inlineStr">
        <is>
          <t>VÄSTRA GÖTALANDS LÄN</t>
        </is>
      </c>
      <c r="E14178" t="inlineStr">
        <is>
          <t>BORÅS</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10251-2025</t>
        </is>
      </c>
      <c r="B14179" s="1" t="n">
        <v>45720.3642824074</v>
      </c>
      <c r="C14179" s="1" t="n">
        <v>46011</v>
      </c>
      <c r="D14179" t="inlineStr">
        <is>
          <t>VÄSTRA GÖTALANDS LÄN</t>
        </is>
      </c>
      <c r="E14179" t="inlineStr">
        <is>
          <t>ESSUNGA</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35489-2024</t>
        </is>
      </c>
      <c r="B14180" s="1" t="n">
        <v>45531</v>
      </c>
      <c r="C14180" s="1" t="n">
        <v>46011</v>
      </c>
      <c r="D14180" t="inlineStr">
        <is>
          <t>VÄSTRA GÖTALANDS LÄN</t>
        </is>
      </c>
      <c r="E14180" t="inlineStr">
        <is>
          <t>TÖREBODA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13988-2025</t>
        </is>
      </c>
      <c r="B14181" s="1" t="n">
        <v>45739.38972222222</v>
      </c>
      <c r="C14181" s="1" t="n">
        <v>46011</v>
      </c>
      <c r="D14181" t="inlineStr">
        <is>
          <t>VÄSTRA GÖTALANDS LÄN</t>
        </is>
      </c>
      <c r="E14181" t="inlineStr">
        <is>
          <t>SVENLJUNGA</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18247-2023</t>
        </is>
      </c>
      <c r="B14182" s="1" t="n">
        <v>45041.47372685185</v>
      </c>
      <c r="C14182" s="1" t="n">
        <v>46011</v>
      </c>
      <c r="D14182" t="inlineStr">
        <is>
          <t>VÄSTRA GÖTALANDS LÄN</t>
        </is>
      </c>
      <c r="E14182" t="inlineStr">
        <is>
          <t>TIDAHOLM</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50981-2023</t>
        </is>
      </c>
      <c r="B14183" s="1" t="n">
        <v>45218.52822916667</v>
      </c>
      <c r="C14183" s="1" t="n">
        <v>46011</v>
      </c>
      <c r="D14183" t="inlineStr">
        <is>
          <t>VÄSTRA GÖTALANDS LÄN</t>
        </is>
      </c>
      <c r="E14183" t="inlineStr">
        <is>
          <t>BOLLEBYGD</t>
        </is>
      </c>
      <c r="F14183" t="inlineStr">
        <is>
          <t>Sveaskog</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9558-2023</t>
        </is>
      </c>
      <c r="B14184" s="1" t="n">
        <v>44982.324375</v>
      </c>
      <c r="C14184" s="1" t="n">
        <v>46011</v>
      </c>
      <c r="D14184" t="inlineStr">
        <is>
          <t>VÄSTRA GÖTALANDS LÄN</t>
        </is>
      </c>
      <c r="E14184" t="inlineStr">
        <is>
          <t>MARK</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31337-2024</t>
        </is>
      </c>
      <c r="B14185" s="1" t="n">
        <v>45504</v>
      </c>
      <c r="C14185" s="1" t="n">
        <v>46011</v>
      </c>
      <c r="D14185" t="inlineStr">
        <is>
          <t>VÄSTRA GÖTALANDS LÄN</t>
        </is>
      </c>
      <c r="E14185" t="inlineStr">
        <is>
          <t>ÅMÅL</t>
        </is>
      </c>
      <c r="G14185" t="n">
        <v>6.2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60923-2022</t>
        </is>
      </c>
      <c r="B14186" s="1" t="n">
        <v>44914.61417824074</v>
      </c>
      <c r="C14186" s="1" t="n">
        <v>46011</v>
      </c>
      <c r="D14186" t="inlineStr">
        <is>
          <t>VÄSTRA GÖTALANDS LÄN</t>
        </is>
      </c>
      <c r="E14186" t="inlineStr">
        <is>
          <t>BORÅS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47374-2024</t>
        </is>
      </c>
      <c r="B14187" s="1" t="n">
        <v>45587.45049768518</v>
      </c>
      <c r="C14187" s="1" t="n">
        <v>46011</v>
      </c>
      <c r="D14187" t="inlineStr">
        <is>
          <t>VÄSTRA GÖTALANDS LÄN</t>
        </is>
      </c>
      <c r="E14187" t="inlineStr">
        <is>
          <t>HERRLJUNGA</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62448-2023</t>
        </is>
      </c>
      <c r="B14188" s="1" t="n">
        <v>45268.4834375</v>
      </c>
      <c r="C14188" s="1" t="n">
        <v>46011</v>
      </c>
      <c r="D14188" t="inlineStr">
        <is>
          <t>VÄSTRA GÖTALANDS LÄN</t>
        </is>
      </c>
      <c r="E14188" t="inlineStr">
        <is>
          <t>BORÅS</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58633-2023</t>
        </is>
      </c>
      <c r="B14189" s="1" t="n">
        <v>45251.56759259259</v>
      </c>
      <c r="C14189" s="1" t="n">
        <v>46011</v>
      </c>
      <c r="D14189" t="inlineStr">
        <is>
          <t>VÄSTRA GÖTALANDS LÄN</t>
        </is>
      </c>
      <c r="E14189" t="inlineStr">
        <is>
          <t>TIBRO</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15802-2024</t>
        </is>
      </c>
      <c r="B14190" s="1" t="n">
        <v>45404</v>
      </c>
      <c r="C14190" s="1" t="n">
        <v>46011</v>
      </c>
      <c r="D14190" t="inlineStr">
        <is>
          <t>VÄSTRA GÖTALANDS LÄN</t>
        </is>
      </c>
      <c r="E14190" t="inlineStr">
        <is>
          <t>LIDKÖPING</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30753-2022</t>
        </is>
      </c>
      <c r="B14191" s="1" t="n">
        <v>44764.50056712963</v>
      </c>
      <c r="C14191" s="1" t="n">
        <v>46011</v>
      </c>
      <c r="D14191" t="inlineStr">
        <is>
          <t>VÄSTRA GÖTALANDS LÄN</t>
        </is>
      </c>
      <c r="E14191" t="inlineStr">
        <is>
          <t>MARK</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4685-2023</t>
        </is>
      </c>
      <c r="B14192" s="1" t="n">
        <v>44957</v>
      </c>
      <c r="C14192" s="1" t="n">
        <v>46011</v>
      </c>
      <c r="D14192" t="inlineStr">
        <is>
          <t>VÄSTRA GÖTALANDS LÄN</t>
        </is>
      </c>
      <c r="E14192" t="inlineStr">
        <is>
          <t>MARIESTAD</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16680-2024</t>
        </is>
      </c>
      <c r="B14193" s="1" t="n">
        <v>45408.68671296296</v>
      </c>
      <c r="C14193" s="1" t="n">
        <v>46011</v>
      </c>
      <c r="D14193" t="inlineStr">
        <is>
          <t>VÄSTRA GÖTALANDS LÄN</t>
        </is>
      </c>
      <c r="E14193" t="inlineStr">
        <is>
          <t>ULRICEHAMN</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62730-2023</t>
        </is>
      </c>
      <c r="B14194" s="1" t="n">
        <v>45268</v>
      </c>
      <c r="C14194" s="1" t="n">
        <v>46011</v>
      </c>
      <c r="D14194" t="inlineStr">
        <is>
          <t>VÄSTRA GÖTALANDS LÄN</t>
        </is>
      </c>
      <c r="E14194" t="inlineStr">
        <is>
          <t>LILLA EDET</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21229-2023</t>
        </is>
      </c>
      <c r="B14195" s="1" t="n">
        <v>45062</v>
      </c>
      <c r="C14195" s="1" t="n">
        <v>46011</v>
      </c>
      <c r="D14195" t="inlineStr">
        <is>
          <t>VÄSTRA GÖTALANDS LÄN</t>
        </is>
      </c>
      <c r="E14195" t="inlineStr">
        <is>
          <t>BENGTSFORS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37427-2024</t>
        </is>
      </c>
      <c r="B14196" s="1" t="n">
        <v>45540.64853009259</v>
      </c>
      <c r="C14196" s="1" t="n">
        <v>46011</v>
      </c>
      <c r="D14196" t="inlineStr">
        <is>
          <t>VÄSTRA GÖTALANDS LÄN</t>
        </is>
      </c>
      <c r="E14196" t="inlineStr">
        <is>
          <t>UDDEVALLA</t>
        </is>
      </c>
      <c r="F14196" t="inlineStr">
        <is>
          <t>Kyrkan</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6336-2022</t>
        </is>
      </c>
      <c r="B14197" s="1" t="n">
        <v>44600.57196759259</v>
      </c>
      <c r="C14197" s="1" t="n">
        <v>46011</v>
      </c>
      <c r="D14197" t="inlineStr">
        <is>
          <t>VÄSTRA GÖTALANDS LÄN</t>
        </is>
      </c>
      <c r="E14197" t="inlineStr">
        <is>
          <t>VARA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38576-2024</t>
        </is>
      </c>
      <c r="B14198" s="1" t="n">
        <v>45546.64320601852</v>
      </c>
      <c r="C14198" s="1" t="n">
        <v>46011</v>
      </c>
      <c r="D14198" t="inlineStr">
        <is>
          <t>VÄSTRA GÖTALANDS LÄN</t>
        </is>
      </c>
      <c r="E14198" t="inlineStr">
        <is>
          <t>MUNKEDAL</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25413-2021</t>
        </is>
      </c>
      <c r="B14199" s="1" t="n">
        <v>44342.64425925926</v>
      </c>
      <c r="C14199" s="1" t="n">
        <v>46011</v>
      </c>
      <c r="D14199" t="inlineStr">
        <is>
          <t>VÄSTRA GÖTALANDS LÄN</t>
        </is>
      </c>
      <c r="E14199" t="inlineStr">
        <is>
          <t>TROLLHÄTTAN</t>
        </is>
      </c>
      <c r="G14199" t="n">
        <v>0</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49471-2023</t>
        </is>
      </c>
      <c r="B14200" s="1" t="n">
        <v>45211</v>
      </c>
      <c r="C14200" s="1" t="n">
        <v>46011</v>
      </c>
      <c r="D14200" t="inlineStr">
        <is>
          <t>VÄSTRA GÖTALANDS LÄN</t>
        </is>
      </c>
      <c r="E14200" t="inlineStr">
        <is>
          <t>BORÅS</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49472-2023</t>
        </is>
      </c>
      <c r="B14201" s="1" t="n">
        <v>45211</v>
      </c>
      <c r="C14201" s="1" t="n">
        <v>46011</v>
      </c>
      <c r="D14201" t="inlineStr">
        <is>
          <t>VÄSTRA GÖTALANDS LÄN</t>
        </is>
      </c>
      <c r="E14201" t="inlineStr">
        <is>
          <t>ALINGSÅS</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56452-2022</t>
        </is>
      </c>
      <c r="B14202" s="1" t="n">
        <v>44893.2884375</v>
      </c>
      <c r="C14202" s="1" t="n">
        <v>46011</v>
      </c>
      <c r="D14202" t="inlineStr">
        <is>
          <t>VÄSTRA GÖTALANDS LÄN</t>
        </is>
      </c>
      <c r="E14202" t="inlineStr">
        <is>
          <t>BOLLEBYGD</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58093-2023</t>
        </is>
      </c>
      <c r="B14203" s="1" t="n">
        <v>45248</v>
      </c>
      <c r="C14203" s="1" t="n">
        <v>46011</v>
      </c>
      <c r="D14203" t="inlineStr">
        <is>
          <t>VÄSTRA GÖTALANDS LÄN</t>
        </is>
      </c>
      <c r="E14203" t="inlineStr">
        <is>
          <t>BOLLEBYGD</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3657-2024</t>
        </is>
      </c>
      <c r="B14204" s="1" t="n">
        <v>45321.3408449074</v>
      </c>
      <c r="C14204" s="1" t="n">
        <v>46011</v>
      </c>
      <c r="D14204" t="inlineStr">
        <is>
          <t>VÄSTRA GÖTALANDS LÄN</t>
        </is>
      </c>
      <c r="E14204" t="inlineStr">
        <is>
          <t>FÄRGELANDA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59438-2022</t>
        </is>
      </c>
      <c r="B14205" s="1" t="n">
        <v>44907.39209490741</v>
      </c>
      <c r="C14205" s="1" t="n">
        <v>46011</v>
      </c>
      <c r="D14205" t="inlineStr">
        <is>
          <t>VÄSTRA GÖTALANDS LÄN</t>
        </is>
      </c>
      <c r="E14205" t="inlineStr">
        <is>
          <t>TÖREBODA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3703-2024</t>
        </is>
      </c>
      <c r="B14206" s="1" t="n">
        <v>45321</v>
      </c>
      <c r="C14206" s="1" t="n">
        <v>46011</v>
      </c>
      <c r="D14206" t="inlineStr">
        <is>
          <t>VÄSTRA GÖTALANDS LÄN</t>
        </is>
      </c>
      <c r="E14206" t="inlineStr">
        <is>
          <t>BORÅS</t>
        </is>
      </c>
      <c r="F14206" t="inlineStr">
        <is>
          <t>Kommuner</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48619-2023</t>
        </is>
      </c>
      <c r="B14207" s="1" t="n">
        <v>45208.56241898148</v>
      </c>
      <c r="C14207" s="1" t="n">
        <v>46011</v>
      </c>
      <c r="D14207" t="inlineStr">
        <is>
          <t>VÄSTRA GÖTALANDS LÄN</t>
        </is>
      </c>
      <c r="E14207" t="inlineStr">
        <is>
          <t>BORÅS</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62502-2023</t>
        </is>
      </c>
      <c r="B14208" s="1" t="n">
        <v>45267</v>
      </c>
      <c r="C14208" s="1" t="n">
        <v>46011</v>
      </c>
      <c r="D14208" t="inlineStr">
        <is>
          <t>VÄSTRA GÖTALANDS LÄN</t>
        </is>
      </c>
      <c r="E14208" t="inlineStr">
        <is>
          <t>MUNKEDAL</t>
        </is>
      </c>
      <c r="F14208" t="inlineStr">
        <is>
          <t>Kyrkan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10335-2024</t>
        </is>
      </c>
      <c r="B14209" s="1" t="n">
        <v>45365</v>
      </c>
      <c r="C14209" s="1" t="n">
        <v>46011</v>
      </c>
      <c r="D14209" t="inlineStr">
        <is>
          <t>VÄSTRA GÖTALANDS LÄN</t>
        </is>
      </c>
      <c r="E14209" t="inlineStr">
        <is>
          <t>BENGTSFORS</t>
        </is>
      </c>
      <c r="G14209" t="n">
        <v>0.3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60509-2022</t>
        </is>
      </c>
      <c r="B14210" s="1" t="n">
        <v>44904</v>
      </c>
      <c r="C14210" s="1" t="n">
        <v>46011</v>
      </c>
      <c r="D14210" t="inlineStr">
        <is>
          <t>VÄSTRA GÖTALANDS LÄN</t>
        </is>
      </c>
      <c r="E14210" t="inlineStr">
        <is>
          <t>HERRLJUNGA</t>
        </is>
      </c>
      <c r="F14210" t="inlineStr">
        <is>
          <t>Övriga statliga verk och myndigheter</t>
        </is>
      </c>
      <c r="G14210" t="n">
        <v>4.8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519-2023</t>
        </is>
      </c>
      <c r="B14211" s="1" t="n">
        <v>44930.40255787037</v>
      </c>
      <c r="C14211" s="1" t="n">
        <v>46011</v>
      </c>
      <c r="D14211" t="inlineStr">
        <is>
          <t>VÄSTRA GÖTALANDS LÄN</t>
        </is>
      </c>
      <c r="E14211" t="inlineStr">
        <is>
          <t>VÄNERSBORG</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29798-2024</t>
        </is>
      </c>
      <c r="B14212" s="1" t="n">
        <v>45485.48961805556</v>
      </c>
      <c r="C14212" s="1" t="n">
        <v>46011</v>
      </c>
      <c r="D14212" t="inlineStr">
        <is>
          <t>VÄSTRA GÖTALANDS LÄN</t>
        </is>
      </c>
      <c r="E14212" t="inlineStr">
        <is>
          <t>HJO</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38988-2024</t>
        </is>
      </c>
      <c r="B14213" s="1" t="n">
        <v>45548.40613425926</v>
      </c>
      <c r="C14213" s="1" t="n">
        <v>46011</v>
      </c>
      <c r="D14213" t="inlineStr">
        <is>
          <t>VÄSTRA GÖTALANDS LÄN</t>
        </is>
      </c>
      <c r="E14213" t="inlineStr">
        <is>
          <t>STRÖMSTAD</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12631-2023</t>
        </is>
      </c>
      <c r="B14214" s="1" t="n">
        <v>45000.48203703704</v>
      </c>
      <c r="C14214" s="1" t="n">
        <v>46011</v>
      </c>
      <c r="D14214" t="inlineStr">
        <is>
          <t>VÄSTRA GÖTALANDS LÄN</t>
        </is>
      </c>
      <c r="E14214" t="inlineStr">
        <is>
          <t>SVENLJUNGA</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26529-2023</t>
        </is>
      </c>
      <c r="B14215" s="1" t="n">
        <v>45092.57231481482</v>
      </c>
      <c r="C14215" s="1" t="n">
        <v>46011</v>
      </c>
      <c r="D14215" t="inlineStr">
        <is>
          <t>VÄSTRA GÖTALANDS LÄN</t>
        </is>
      </c>
      <c r="E14215" t="inlineStr">
        <is>
          <t>MARK</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62098-2022</t>
        </is>
      </c>
      <c r="B14216" s="1" t="n">
        <v>44920.456875</v>
      </c>
      <c r="C14216" s="1" t="n">
        <v>46011</v>
      </c>
      <c r="D14216" t="inlineStr">
        <is>
          <t>VÄSTRA GÖTALANDS LÄN</t>
        </is>
      </c>
      <c r="E14216" t="inlineStr">
        <is>
          <t>MUNKEDAL</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62101-2022</t>
        </is>
      </c>
      <c r="B14217" s="1" t="n">
        <v>44920.47568287037</v>
      </c>
      <c r="C14217" s="1" t="n">
        <v>46011</v>
      </c>
      <c r="D14217" t="inlineStr">
        <is>
          <t>VÄSTRA GÖTALANDS LÄN</t>
        </is>
      </c>
      <c r="E14217" t="inlineStr">
        <is>
          <t>MUNKEDAL</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60583-2022</t>
        </is>
      </c>
      <c r="B14218" s="1" t="n">
        <v>44904</v>
      </c>
      <c r="C14218" s="1" t="n">
        <v>46011</v>
      </c>
      <c r="D14218" t="inlineStr">
        <is>
          <t>VÄSTRA GÖTALANDS LÄN</t>
        </is>
      </c>
      <c r="E14218" t="inlineStr">
        <is>
          <t>HERRLJUNGA</t>
        </is>
      </c>
      <c r="F14218" t="inlineStr">
        <is>
          <t>Övriga statliga verk och myndigheter</t>
        </is>
      </c>
      <c r="G14218" t="n">
        <v>9.800000000000001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52408-2024</t>
        </is>
      </c>
      <c r="B14219" s="1" t="n">
        <v>45609.45116898148</v>
      </c>
      <c r="C14219" s="1" t="n">
        <v>46011</v>
      </c>
      <c r="D14219" t="inlineStr">
        <is>
          <t>VÄSTRA GÖTALANDS LÄN</t>
        </is>
      </c>
      <c r="E14219" t="inlineStr">
        <is>
          <t>SVENLJUNGA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22407-2023</t>
        </is>
      </c>
      <c r="B14220" s="1" t="n">
        <v>45070</v>
      </c>
      <c r="C14220" s="1" t="n">
        <v>46011</v>
      </c>
      <c r="D14220" t="inlineStr">
        <is>
          <t>VÄSTRA GÖTALANDS LÄN</t>
        </is>
      </c>
      <c r="E14220" t="inlineStr">
        <is>
          <t>ULRICEHAMN</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7092-2025</t>
        </is>
      </c>
      <c r="B14221" s="1" t="n">
        <v>45701.76197916667</v>
      </c>
      <c r="C14221" s="1" t="n">
        <v>46011</v>
      </c>
      <c r="D14221" t="inlineStr">
        <is>
          <t>VÄSTRA GÖTALANDS LÄN</t>
        </is>
      </c>
      <c r="E14221" t="inlineStr">
        <is>
          <t>BORÅS</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23634-2023</t>
        </is>
      </c>
      <c r="B14222" s="1" t="n">
        <v>45077.50708333333</v>
      </c>
      <c r="C14222" s="1" t="n">
        <v>46011</v>
      </c>
      <c r="D14222" t="inlineStr">
        <is>
          <t>VÄSTRA GÖTALANDS LÄN</t>
        </is>
      </c>
      <c r="E14222" t="inlineStr">
        <is>
          <t>MARK</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50312-2024</t>
        </is>
      </c>
      <c r="B14223" s="1" t="n">
        <v>45600.65659722222</v>
      </c>
      <c r="C14223" s="1" t="n">
        <v>46011</v>
      </c>
      <c r="D14223" t="inlineStr">
        <is>
          <t>VÄSTRA GÖTALANDS LÄN</t>
        </is>
      </c>
      <c r="E14223" t="inlineStr">
        <is>
          <t>ALINGSÅS</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60475-2024</t>
        </is>
      </c>
      <c r="B14224" s="1" t="n">
        <v>45643.63023148148</v>
      </c>
      <c r="C14224" s="1" t="n">
        <v>46011</v>
      </c>
      <c r="D14224" t="inlineStr">
        <is>
          <t>VÄSTRA GÖTALANDS LÄN</t>
        </is>
      </c>
      <c r="E14224" t="inlineStr">
        <is>
          <t>FÄRGELANDA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60476-2024</t>
        </is>
      </c>
      <c r="B14225" s="1" t="n">
        <v>45643.63238425926</v>
      </c>
      <c r="C14225" s="1" t="n">
        <v>46011</v>
      </c>
      <c r="D14225" t="inlineStr">
        <is>
          <t>VÄSTRA GÖTALANDS LÄN</t>
        </is>
      </c>
      <c r="E14225" t="inlineStr">
        <is>
          <t>HERRLJUNGA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60522-2024</t>
        </is>
      </c>
      <c r="B14226" s="1" t="n">
        <v>45643</v>
      </c>
      <c r="C14226" s="1" t="n">
        <v>46011</v>
      </c>
      <c r="D14226" t="inlineStr">
        <is>
          <t>VÄSTRA GÖTALANDS LÄN</t>
        </is>
      </c>
      <c r="E14226" t="inlineStr">
        <is>
          <t>BENGTSFORS</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6916-2023</t>
        </is>
      </c>
      <c r="B14227" s="1" t="n">
        <v>44967.53349537037</v>
      </c>
      <c r="C14227" s="1" t="n">
        <v>46011</v>
      </c>
      <c r="D14227" t="inlineStr">
        <is>
          <t>VÄSTRA GÖTALANDS LÄN</t>
        </is>
      </c>
      <c r="E14227" t="inlineStr">
        <is>
          <t>ALE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6983-2023</t>
        </is>
      </c>
      <c r="B14228" s="1" t="n">
        <v>44967.68585648148</v>
      </c>
      <c r="C14228" s="1" t="n">
        <v>46011</v>
      </c>
      <c r="D14228" t="inlineStr">
        <is>
          <t>VÄSTRA GÖTALANDS LÄN</t>
        </is>
      </c>
      <c r="E14228" t="inlineStr">
        <is>
          <t>PARTILLE</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16422-2023</t>
        </is>
      </c>
      <c r="B14229" s="1" t="n">
        <v>45029.43778935185</v>
      </c>
      <c r="C14229" s="1" t="n">
        <v>46011</v>
      </c>
      <c r="D14229" t="inlineStr">
        <is>
          <t>VÄSTRA GÖTALANDS LÄN</t>
        </is>
      </c>
      <c r="E14229" t="inlineStr">
        <is>
          <t>BENGTSFORS</t>
        </is>
      </c>
      <c r="G14229" t="n">
        <v>11.6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16471-2023</t>
        </is>
      </c>
      <c r="B14230" s="1" t="n">
        <v>45026</v>
      </c>
      <c r="C14230" s="1" t="n">
        <v>46011</v>
      </c>
      <c r="D14230" t="inlineStr">
        <is>
          <t>VÄSTRA GÖTALANDS LÄN</t>
        </is>
      </c>
      <c r="E14230" t="inlineStr">
        <is>
          <t>TANUM</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9581-2025</t>
        </is>
      </c>
      <c r="B14231" s="1" t="n">
        <v>45715.63009259259</v>
      </c>
      <c r="C14231" s="1" t="n">
        <v>46011</v>
      </c>
      <c r="D14231" t="inlineStr">
        <is>
          <t>VÄSTRA GÖTALANDS LÄN</t>
        </is>
      </c>
      <c r="E14231" t="inlineStr">
        <is>
          <t>ULRICEHAMN</t>
        </is>
      </c>
      <c r="F14231" t="inlineStr">
        <is>
          <t>Sveaskog</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43614-2022</t>
        </is>
      </c>
      <c r="B14232" s="1" t="n">
        <v>44837</v>
      </c>
      <c r="C14232" s="1" t="n">
        <v>46011</v>
      </c>
      <c r="D14232" t="inlineStr">
        <is>
          <t>VÄSTRA GÖTALANDS LÄN</t>
        </is>
      </c>
      <c r="E14232" t="inlineStr">
        <is>
          <t>SVENLJUNGA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13970-2023</t>
        </is>
      </c>
      <c r="B14233" s="1" t="n">
        <v>45008.48313657408</v>
      </c>
      <c r="C14233" s="1" t="n">
        <v>46011</v>
      </c>
      <c r="D14233" t="inlineStr">
        <is>
          <t>VÄSTRA GÖTALANDS LÄN</t>
        </is>
      </c>
      <c r="E14233" t="inlineStr">
        <is>
          <t>BENGTSFORS</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61289-2023</t>
        </is>
      </c>
      <c r="B14234" s="1" t="n">
        <v>45260</v>
      </c>
      <c r="C14234" s="1" t="n">
        <v>46011</v>
      </c>
      <c r="D14234" t="inlineStr">
        <is>
          <t>VÄSTRA GÖTALANDS LÄN</t>
        </is>
      </c>
      <c r="E14234" t="inlineStr">
        <is>
          <t>GULLSPÅNG</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43754-2022</t>
        </is>
      </c>
      <c r="B14235" s="1" t="n">
        <v>44837</v>
      </c>
      <c r="C14235" s="1" t="n">
        <v>46011</v>
      </c>
      <c r="D14235" t="inlineStr">
        <is>
          <t>VÄSTRA GÖTALANDS LÄN</t>
        </is>
      </c>
      <c r="E14235" t="inlineStr">
        <is>
          <t>VARA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3645-2024</t>
        </is>
      </c>
      <c r="B14236" s="1" t="n">
        <v>45321</v>
      </c>
      <c r="C14236" s="1" t="n">
        <v>46011</v>
      </c>
      <c r="D14236" t="inlineStr">
        <is>
          <t>VÄSTRA GÖTALANDS LÄN</t>
        </is>
      </c>
      <c r="E14236" t="inlineStr">
        <is>
          <t>GULLSPÅNG</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12329-2024</t>
        </is>
      </c>
      <c r="B14237" s="1" t="n">
        <v>45378.67270833333</v>
      </c>
      <c r="C14237" s="1" t="n">
        <v>46011</v>
      </c>
      <c r="D14237" t="inlineStr">
        <is>
          <t>VÄSTRA GÖTALANDS LÄN</t>
        </is>
      </c>
      <c r="E14237" t="inlineStr">
        <is>
          <t>TROLLHÄTTAN</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12330-2024</t>
        </is>
      </c>
      <c r="B14238" s="1" t="n">
        <v>45378.67270833333</v>
      </c>
      <c r="C14238" s="1" t="n">
        <v>46011</v>
      </c>
      <c r="D14238" t="inlineStr">
        <is>
          <t>VÄSTRA GÖTALANDS LÄN</t>
        </is>
      </c>
      <c r="E14238" t="inlineStr">
        <is>
          <t>MARK</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64199-2021</t>
        </is>
      </c>
      <c r="B14239" s="1" t="n">
        <v>44510</v>
      </c>
      <c r="C14239" s="1" t="n">
        <v>46011</v>
      </c>
      <c r="D14239" t="inlineStr">
        <is>
          <t>VÄSTRA GÖTALANDS LÄN</t>
        </is>
      </c>
      <c r="E14239" t="inlineStr">
        <is>
          <t>ALE</t>
        </is>
      </c>
      <c r="G14239" t="n">
        <v>5.7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64207-2021</t>
        </is>
      </c>
      <c r="B14240" s="1" t="n">
        <v>44510.61469907407</v>
      </c>
      <c r="C14240" s="1" t="n">
        <v>46011</v>
      </c>
      <c r="D14240" t="inlineStr">
        <is>
          <t>VÄSTRA GÖTALANDS LÄN</t>
        </is>
      </c>
      <c r="E14240" t="inlineStr">
        <is>
          <t>BOLLEBYGD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45632-2024</t>
        </is>
      </c>
      <c r="B14241" s="1" t="n">
        <v>45579.47123842593</v>
      </c>
      <c r="C14241" s="1" t="n">
        <v>46011</v>
      </c>
      <c r="D14241" t="inlineStr">
        <is>
          <t>VÄSTRA GÖTALANDS LÄN</t>
        </is>
      </c>
      <c r="E14241" t="inlineStr">
        <is>
          <t>STRÖMSTAD</t>
        </is>
      </c>
      <c r="F14241" t="inlineStr">
        <is>
          <t>Kyrkan</t>
        </is>
      </c>
      <c r="G14241" t="n">
        <v>9.5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56365-2024</t>
        </is>
      </c>
      <c r="B14242" s="1" t="n">
        <v>45625.32438657407</v>
      </c>
      <c r="C14242" s="1" t="n">
        <v>46011</v>
      </c>
      <c r="D14242" t="inlineStr">
        <is>
          <t>VÄSTRA GÖTALANDS LÄN</t>
        </is>
      </c>
      <c r="E14242" t="inlineStr">
        <is>
          <t>LIDKÖPING</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22867-2024</t>
        </is>
      </c>
      <c r="B14243" s="1" t="n">
        <v>45448</v>
      </c>
      <c r="C14243" s="1" t="n">
        <v>46011</v>
      </c>
      <c r="D14243" t="inlineStr">
        <is>
          <t>VÄSTRA GÖTALANDS LÄN</t>
        </is>
      </c>
      <c r="E14243" t="inlineStr">
        <is>
          <t>SKARA</t>
        </is>
      </c>
      <c r="F14243" t="inlineStr">
        <is>
          <t>Sveaskog</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17583-2025</t>
        </is>
      </c>
      <c r="B14244" s="1" t="n">
        <v>45757.66560185186</v>
      </c>
      <c r="C14244" s="1" t="n">
        <v>46011</v>
      </c>
      <c r="D14244" t="inlineStr">
        <is>
          <t>VÄSTRA GÖTALANDS LÄN</t>
        </is>
      </c>
      <c r="E14244" t="inlineStr">
        <is>
          <t>MARK</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18533-2025</t>
        </is>
      </c>
      <c r="B14245" s="1" t="n">
        <v>45762</v>
      </c>
      <c r="C14245" s="1" t="n">
        <v>46011</v>
      </c>
      <c r="D14245" t="inlineStr">
        <is>
          <t>VÄSTRA GÖTALANDS LÄN</t>
        </is>
      </c>
      <c r="E14245" t="inlineStr">
        <is>
          <t>BORÅS</t>
        </is>
      </c>
      <c r="F14245" t="inlineStr">
        <is>
          <t>Kommuner</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52999-2023</t>
        </is>
      </c>
      <c r="B14246" s="1" t="n">
        <v>45226</v>
      </c>
      <c r="C14246" s="1" t="n">
        <v>46011</v>
      </c>
      <c r="D14246" t="inlineStr">
        <is>
          <t>VÄSTRA GÖTALANDS LÄN</t>
        </is>
      </c>
      <c r="E14246" t="inlineStr">
        <is>
          <t>LIDKÖPING</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2907-2025</t>
        </is>
      </c>
      <c r="B14247" s="1" t="n">
        <v>45677.81309027778</v>
      </c>
      <c r="C14247" s="1" t="n">
        <v>46011</v>
      </c>
      <c r="D14247" t="inlineStr">
        <is>
          <t>VÄSTRA GÖTALANDS LÄN</t>
        </is>
      </c>
      <c r="E14247" t="inlineStr">
        <is>
          <t>ULRICEHAMN</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28528-2024</t>
        </is>
      </c>
      <c r="B14248" s="1" t="n">
        <v>45478.3252199074</v>
      </c>
      <c r="C14248" s="1" t="n">
        <v>46011</v>
      </c>
      <c r="D14248" t="inlineStr">
        <is>
          <t>VÄSTRA GÖTALANDS LÄN</t>
        </is>
      </c>
      <c r="E14248" t="inlineStr">
        <is>
          <t>KARLSBORG</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15309-2025</t>
        </is>
      </c>
      <c r="B14249" s="1" t="n">
        <v>45746.78952546296</v>
      </c>
      <c r="C14249" s="1" t="n">
        <v>46011</v>
      </c>
      <c r="D14249" t="inlineStr">
        <is>
          <t>VÄSTRA GÖTALANDS LÄN</t>
        </is>
      </c>
      <c r="E14249" t="inlineStr">
        <is>
          <t>TRANEMO</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15313-2025</t>
        </is>
      </c>
      <c r="B14250" s="1" t="n">
        <v>45746</v>
      </c>
      <c r="C14250" s="1" t="n">
        <v>46011</v>
      </c>
      <c r="D14250" t="inlineStr">
        <is>
          <t>VÄSTRA GÖTALANDS LÄN</t>
        </is>
      </c>
      <c r="E14250" t="inlineStr">
        <is>
          <t>FALKÖPING</t>
        </is>
      </c>
      <c r="G14250" t="n">
        <v>10</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60984-2024</t>
        </is>
      </c>
      <c r="B14251" s="1" t="n">
        <v>45645</v>
      </c>
      <c r="C14251" s="1" t="n">
        <v>46011</v>
      </c>
      <c r="D14251" t="inlineStr">
        <is>
          <t>VÄSTRA GÖTALANDS LÄN</t>
        </is>
      </c>
      <c r="E14251" t="inlineStr">
        <is>
          <t>BENGTSFORS</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60989-2024</t>
        </is>
      </c>
      <c r="B14252" s="1" t="n">
        <v>45645.4187037037</v>
      </c>
      <c r="C14252" s="1" t="n">
        <v>46011</v>
      </c>
      <c r="D14252" t="inlineStr">
        <is>
          <t>VÄSTRA GÖTALANDS LÄN</t>
        </is>
      </c>
      <c r="E14252" t="inlineStr">
        <is>
          <t>ULRICEHAMN</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43798-2024</t>
        </is>
      </c>
      <c r="B14253" s="1" t="n">
        <v>45571.59386574074</v>
      </c>
      <c r="C14253" s="1" t="n">
        <v>46011</v>
      </c>
      <c r="D14253" t="inlineStr">
        <is>
          <t>VÄSTRA GÖTALANDS LÄN</t>
        </is>
      </c>
      <c r="E14253" t="inlineStr">
        <is>
          <t>VÄNERSBORG</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15316-2025</t>
        </is>
      </c>
      <c r="B14254" s="1" t="n">
        <v>45747.30217592593</v>
      </c>
      <c r="C14254" s="1" t="n">
        <v>46011</v>
      </c>
      <c r="D14254" t="inlineStr">
        <is>
          <t>VÄSTRA GÖTALANDS LÄN</t>
        </is>
      </c>
      <c r="E14254" t="inlineStr">
        <is>
          <t>SVENLJUNGA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6485-2024</t>
        </is>
      </c>
      <c r="B14255" s="1" t="n">
        <v>45339.40619212963</v>
      </c>
      <c r="C14255" s="1" t="n">
        <v>46011</v>
      </c>
      <c r="D14255" t="inlineStr">
        <is>
          <t>VÄSTRA GÖTALANDS LÄN</t>
        </is>
      </c>
      <c r="E14255" t="inlineStr">
        <is>
          <t>ORUST</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8402-2024</t>
        </is>
      </c>
      <c r="B14256" s="1" t="n">
        <v>45352.78115740741</v>
      </c>
      <c r="C14256" s="1" t="n">
        <v>46011</v>
      </c>
      <c r="D14256" t="inlineStr">
        <is>
          <t>VÄSTRA GÖTALANDS LÄN</t>
        </is>
      </c>
      <c r="E14256" t="inlineStr">
        <is>
          <t>TÖREBODA</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50603-2024</t>
        </is>
      </c>
      <c r="B14257" s="1" t="n">
        <v>45600</v>
      </c>
      <c r="C14257" s="1" t="n">
        <v>46011</v>
      </c>
      <c r="D14257" t="inlineStr">
        <is>
          <t>VÄSTRA GÖTALANDS LÄN</t>
        </is>
      </c>
      <c r="E14257" t="inlineStr">
        <is>
          <t>STRÖMSTAD</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5466-2024</t>
        </is>
      </c>
      <c r="B14258" s="1" t="n">
        <v>45332</v>
      </c>
      <c r="C14258" s="1" t="n">
        <v>46011</v>
      </c>
      <c r="D14258" t="inlineStr">
        <is>
          <t>VÄSTRA GÖTALANDS LÄN</t>
        </is>
      </c>
      <c r="E14258" t="inlineStr">
        <is>
          <t>MARK</t>
        </is>
      </c>
      <c r="G14258" t="n">
        <v>6.8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12401-2024</t>
        </is>
      </c>
      <c r="B14259" s="1" t="n">
        <v>45379.38784722222</v>
      </c>
      <c r="C14259" s="1" t="n">
        <v>46011</v>
      </c>
      <c r="D14259" t="inlineStr">
        <is>
          <t>VÄSTRA GÖTALANDS LÄN</t>
        </is>
      </c>
      <c r="E14259" t="inlineStr">
        <is>
          <t>ULRICEHAMN</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29974-2024</t>
        </is>
      </c>
      <c r="B14260" s="1" t="n">
        <v>45488</v>
      </c>
      <c r="C14260" s="1" t="n">
        <v>46011</v>
      </c>
      <c r="D14260" t="inlineStr">
        <is>
          <t>VÄSTRA GÖTALANDS LÄN</t>
        </is>
      </c>
      <c r="E14260" t="inlineStr">
        <is>
          <t>FALKÖPING</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35779-2024</t>
        </is>
      </c>
      <c r="B14261" s="1" t="n">
        <v>45532.60379629629</v>
      </c>
      <c r="C14261" s="1" t="n">
        <v>46011</v>
      </c>
      <c r="D14261" t="inlineStr">
        <is>
          <t>VÄSTRA GÖTALANDS LÄN</t>
        </is>
      </c>
      <c r="E14261" t="inlineStr">
        <is>
          <t>ÅMÅL</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16526-2025</t>
        </is>
      </c>
      <c r="B14262" s="1" t="n">
        <v>45751.64315972223</v>
      </c>
      <c r="C14262" s="1" t="n">
        <v>46011</v>
      </c>
      <c r="D14262" t="inlineStr">
        <is>
          <t>VÄSTRA GÖTALANDS LÄN</t>
        </is>
      </c>
      <c r="E14262" t="inlineStr">
        <is>
          <t>TRANEMO</t>
        </is>
      </c>
      <c r="F14262" t="inlineStr">
        <is>
          <t>Sveaskog</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16528-2025</t>
        </is>
      </c>
      <c r="B14263" s="1" t="n">
        <v>45751.64424768519</v>
      </c>
      <c r="C14263" s="1" t="n">
        <v>46011</v>
      </c>
      <c r="D14263" t="inlineStr">
        <is>
          <t>VÄSTRA GÖTALANDS LÄN</t>
        </is>
      </c>
      <c r="E14263" t="inlineStr">
        <is>
          <t>TRANEMO</t>
        </is>
      </c>
      <c r="F14263" t="inlineStr">
        <is>
          <t>Sveaskog</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7019-2024</t>
        </is>
      </c>
      <c r="B14264" s="1" t="n">
        <v>45343</v>
      </c>
      <c r="C14264" s="1" t="n">
        <v>46011</v>
      </c>
      <c r="D14264" t="inlineStr">
        <is>
          <t>VÄSTRA GÖTALANDS LÄN</t>
        </is>
      </c>
      <c r="E14264" t="inlineStr">
        <is>
          <t>MARK</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7033-2024</t>
        </is>
      </c>
      <c r="B14265" s="1" t="n">
        <v>45343.59774305556</v>
      </c>
      <c r="C14265" s="1" t="n">
        <v>46011</v>
      </c>
      <c r="D14265" t="inlineStr">
        <is>
          <t>VÄSTRA GÖTALANDS LÄN</t>
        </is>
      </c>
      <c r="E14265" t="inlineStr">
        <is>
          <t>MARIESTAD</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7720-2024</t>
        </is>
      </c>
      <c r="B14266" s="1" t="n">
        <v>45349</v>
      </c>
      <c r="C14266" s="1" t="n">
        <v>46011</v>
      </c>
      <c r="D14266" t="inlineStr">
        <is>
          <t>VÄSTRA GÖTALANDS LÄN</t>
        </is>
      </c>
      <c r="E14266" t="inlineStr">
        <is>
          <t>MARK</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11130-2025</t>
        </is>
      </c>
      <c r="B14267" s="1" t="n">
        <v>45723.64722222222</v>
      </c>
      <c r="C14267" s="1" t="n">
        <v>46011</v>
      </c>
      <c r="D14267" t="inlineStr">
        <is>
          <t>VÄSTRA GÖTALANDS LÄN</t>
        </is>
      </c>
      <c r="E14267" t="inlineStr">
        <is>
          <t>HERRLJUNGA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39534-2024</t>
        </is>
      </c>
      <c r="B14268" s="1" t="n">
        <v>45551</v>
      </c>
      <c r="C14268" s="1" t="n">
        <v>46011</v>
      </c>
      <c r="D14268" t="inlineStr">
        <is>
          <t>VÄSTRA GÖTALANDS LÄN</t>
        </is>
      </c>
      <c r="E14268" t="inlineStr">
        <is>
          <t>ÅMÅL</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39535-2024</t>
        </is>
      </c>
      <c r="B14269" s="1" t="n">
        <v>45551.87788194444</v>
      </c>
      <c r="C14269" s="1" t="n">
        <v>46011</v>
      </c>
      <c r="D14269" t="inlineStr">
        <is>
          <t>VÄSTRA GÖTALANDS LÄN</t>
        </is>
      </c>
      <c r="E14269" t="inlineStr">
        <is>
          <t>MELLERUD</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30275-2024</t>
        </is>
      </c>
      <c r="B14270" s="1" t="n">
        <v>45490</v>
      </c>
      <c r="C14270" s="1" t="n">
        <v>46011</v>
      </c>
      <c r="D14270" t="inlineStr">
        <is>
          <t>VÄSTRA GÖTALANDS LÄN</t>
        </is>
      </c>
      <c r="E14270" t="inlineStr">
        <is>
          <t>MARK</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13280-2024</t>
        </is>
      </c>
      <c r="B14271" s="1" t="n">
        <v>45386</v>
      </c>
      <c r="C14271" s="1" t="n">
        <v>46011</v>
      </c>
      <c r="D14271" t="inlineStr">
        <is>
          <t>VÄSTRA GÖTALANDS LÄN</t>
        </is>
      </c>
      <c r="E14271" t="inlineStr">
        <is>
          <t>GÖTENE</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2995-2024</t>
        </is>
      </c>
      <c r="B14272" s="1" t="n">
        <v>45315</v>
      </c>
      <c r="C14272" s="1" t="n">
        <v>46011</v>
      </c>
      <c r="D14272" t="inlineStr">
        <is>
          <t>VÄSTRA GÖTALANDS LÄN</t>
        </is>
      </c>
      <c r="E14272" t="inlineStr">
        <is>
          <t>VÅRGÅRDA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29203-2023</t>
        </is>
      </c>
      <c r="B14273" s="1" t="n">
        <v>45097</v>
      </c>
      <c r="C14273" s="1" t="n">
        <v>46011</v>
      </c>
      <c r="D14273" t="inlineStr">
        <is>
          <t>VÄSTRA GÖTALANDS LÄN</t>
        </is>
      </c>
      <c r="E14273" t="inlineStr">
        <is>
          <t>GULLSPÅNG</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13377-2023</t>
        </is>
      </c>
      <c r="B14274" s="1" t="n">
        <v>45005.49668981481</v>
      </c>
      <c r="C14274" s="1" t="n">
        <v>46011</v>
      </c>
      <c r="D14274" t="inlineStr">
        <is>
          <t>VÄSTRA GÖTALANDS LÄN</t>
        </is>
      </c>
      <c r="E14274" t="inlineStr">
        <is>
          <t>ORUST</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10355-2025</t>
        </is>
      </c>
      <c r="B14275" s="1" t="n">
        <v>45720</v>
      </c>
      <c r="C14275" s="1" t="n">
        <v>46011</v>
      </c>
      <c r="D14275" t="inlineStr">
        <is>
          <t>VÄSTRA GÖTALANDS LÄN</t>
        </is>
      </c>
      <c r="E14275" t="inlineStr">
        <is>
          <t>TÖREBODA</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9208-2024</t>
        </is>
      </c>
      <c r="B14276" s="1" t="n">
        <v>45357</v>
      </c>
      <c r="C14276" s="1" t="n">
        <v>46011</v>
      </c>
      <c r="D14276" t="inlineStr">
        <is>
          <t>VÄSTRA GÖTALANDS LÄN</t>
        </is>
      </c>
      <c r="E14276" t="inlineStr">
        <is>
          <t>ULRICEHAMN</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9231-2024</t>
        </is>
      </c>
      <c r="B14277" s="1" t="n">
        <v>45358</v>
      </c>
      <c r="C14277" s="1" t="n">
        <v>46011</v>
      </c>
      <c r="D14277" t="inlineStr">
        <is>
          <t>VÄSTRA GÖTALANDS LÄN</t>
        </is>
      </c>
      <c r="E14277" t="inlineStr">
        <is>
          <t>TIDAHOLM</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9251-2024</t>
        </is>
      </c>
      <c r="B14278" s="1" t="n">
        <v>45358.59503472222</v>
      </c>
      <c r="C14278" s="1" t="n">
        <v>46011</v>
      </c>
      <c r="D14278" t="inlineStr">
        <is>
          <t>VÄSTRA GÖTALANDS LÄN</t>
        </is>
      </c>
      <c r="E14278" t="inlineStr">
        <is>
          <t>MARK</t>
        </is>
      </c>
      <c r="G14278" t="n">
        <v>0.4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44325-2023</t>
        </is>
      </c>
      <c r="B14279" s="1" t="n">
        <v>45188.65824074074</v>
      </c>
      <c r="C14279" s="1" t="n">
        <v>46011</v>
      </c>
      <c r="D14279" t="inlineStr">
        <is>
          <t>VÄSTRA GÖTALANDS LÄN</t>
        </is>
      </c>
      <c r="E14279" t="inlineStr">
        <is>
          <t>UDDEVALLA</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23457-2024</t>
        </is>
      </c>
      <c r="B14280" s="1" t="n">
        <v>45453.65128472223</v>
      </c>
      <c r="C14280" s="1" t="n">
        <v>46011</v>
      </c>
      <c r="D14280" t="inlineStr">
        <is>
          <t>VÄSTRA GÖTALANDS LÄN</t>
        </is>
      </c>
      <c r="E14280" t="inlineStr">
        <is>
          <t>KUNGÄLV</t>
        </is>
      </c>
      <c r="G14280" t="n">
        <v>5.1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60441-2023</t>
        </is>
      </c>
      <c r="B14281" s="1" t="n">
        <v>45259</v>
      </c>
      <c r="C14281" s="1" t="n">
        <v>46011</v>
      </c>
      <c r="D14281" t="inlineStr">
        <is>
          <t>VÄSTRA GÖTALANDS LÄN</t>
        </is>
      </c>
      <c r="E14281" t="inlineStr">
        <is>
          <t>ULRICEHAMN</t>
        </is>
      </c>
      <c r="G14281" t="n">
        <v>6.5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60467-2023</t>
        </is>
      </c>
      <c r="B14282" s="1" t="n">
        <v>45259.58164351852</v>
      </c>
      <c r="C14282" s="1" t="n">
        <v>46011</v>
      </c>
      <c r="D14282" t="inlineStr">
        <is>
          <t>VÄSTRA GÖTALANDS LÄN</t>
        </is>
      </c>
      <c r="E14282" t="inlineStr">
        <is>
          <t>TRANEMO</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59662-2022</t>
        </is>
      </c>
      <c r="B14283" s="1" t="n">
        <v>44908</v>
      </c>
      <c r="C14283" s="1" t="n">
        <v>46011</v>
      </c>
      <c r="D14283" t="inlineStr">
        <is>
          <t>VÄSTRA GÖTALANDS LÄN</t>
        </is>
      </c>
      <c r="E14283" t="inlineStr">
        <is>
          <t>MARK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2610-2024</t>
        </is>
      </c>
      <c r="B14284" s="1" t="n">
        <v>45313.7837037037</v>
      </c>
      <c r="C14284" s="1" t="n">
        <v>46011</v>
      </c>
      <c r="D14284" t="inlineStr">
        <is>
          <t>VÄSTRA GÖTALANDS LÄN</t>
        </is>
      </c>
      <c r="E14284" t="inlineStr">
        <is>
          <t>TRANEMO</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29226-2022</t>
        </is>
      </c>
      <c r="B14285" s="1" t="n">
        <v>44750</v>
      </c>
      <c r="C14285" s="1" t="n">
        <v>46011</v>
      </c>
      <c r="D14285" t="inlineStr">
        <is>
          <t>VÄSTRA GÖTALANDS LÄN</t>
        </is>
      </c>
      <c r="E14285" t="inlineStr">
        <is>
          <t>BENGTSFORS</t>
        </is>
      </c>
      <c r="G14285" t="n">
        <v>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90-2025</t>
        </is>
      </c>
      <c r="B14286" s="1" t="n">
        <v>45649</v>
      </c>
      <c r="C14286" s="1" t="n">
        <v>46011</v>
      </c>
      <c r="D14286" t="inlineStr">
        <is>
          <t>VÄSTRA GÖTALANDS LÄN</t>
        </is>
      </c>
      <c r="E14286" t="inlineStr">
        <is>
          <t>TIDAHOLM</t>
        </is>
      </c>
      <c r="F14286" t="inlineStr">
        <is>
          <t>Allmännings- och besparingsskogar</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45523-2024</t>
        </is>
      </c>
      <c r="B14287" s="1" t="n">
        <v>45578.7541087963</v>
      </c>
      <c r="C14287" s="1" t="n">
        <v>46011</v>
      </c>
      <c r="D14287" t="inlineStr">
        <is>
          <t>VÄSTRA GÖTALANDS LÄN</t>
        </is>
      </c>
      <c r="E14287" t="inlineStr">
        <is>
          <t>ULRICEHAMN</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45526-2024</t>
        </is>
      </c>
      <c r="B14288" s="1" t="n">
        <v>45578.95694444444</v>
      </c>
      <c r="C14288" s="1" t="n">
        <v>46011</v>
      </c>
      <c r="D14288" t="inlineStr">
        <is>
          <t>VÄSTRA GÖTALANDS LÄN</t>
        </is>
      </c>
      <c r="E14288" t="inlineStr">
        <is>
          <t>ULRICEHAMN</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59139-2023</t>
        </is>
      </c>
      <c r="B14289" s="1" t="n">
        <v>45251</v>
      </c>
      <c r="C14289" s="1" t="n">
        <v>46011</v>
      </c>
      <c r="D14289" t="inlineStr">
        <is>
          <t>VÄSTRA GÖTALANDS LÄN</t>
        </is>
      </c>
      <c r="E14289" t="inlineStr">
        <is>
          <t>UDDEVALLA</t>
        </is>
      </c>
      <c r="F14289" t="inlineStr">
        <is>
          <t>Kyrkan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59200-2024</t>
        </is>
      </c>
      <c r="B14290" s="1" t="n">
        <v>45636</v>
      </c>
      <c r="C14290" s="1" t="n">
        <v>46011</v>
      </c>
      <c r="D14290" t="inlineStr">
        <is>
          <t>VÄSTRA GÖTALANDS LÄN</t>
        </is>
      </c>
      <c r="E14290" t="inlineStr">
        <is>
          <t>GULLSPÅNG</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32549-2024</t>
        </is>
      </c>
      <c r="B14291" s="1" t="n">
        <v>45513.50513888889</v>
      </c>
      <c r="C14291" s="1" t="n">
        <v>46011</v>
      </c>
      <c r="D14291" t="inlineStr">
        <is>
          <t>VÄSTRA GÖTALANDS LÄN</t>
        </is>
      </c>
      <c r="E14291" t="inlineStr">
        <is>
          <t>MELLERUD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21077-2023</t>
        </is>
      </c>
      <c r="B14292" s="1" t="n">
        <v>45057</v>
      </c>
      <c r="C14292" s="1" t="n">
        <v>46011</v>
      </c>
      <c r="D14292" t="inlineStr">
        <is>
          <t>VÄSTRA GÖTALANDS LÄN</t>
        </is>
      </c>
      <c r="E14292" t="inlineStr">
        <is>
          <t>MELLERUD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11119-2024</t>
        </is>
      </c>
      <c r="B14293" s="1" t="n">
        <v>45371.38420138889</v>
      </c>
      <c r="C14293" s="1" t="n">
        <v>46011</v>
      </c>
      <c r="D14293" t="inlineStr">
        <is>
          <t>VÄSTRA GÖTALANDS LÄN</t>
        </is>
      </c>
      <c r="E14293" t="inlineStr">
        <is>
          <t>ALINGSÅS</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54090-2024</t>
        </is>
      </c>
      <c r="B14294" s="1" t="n">
        <v>45616.50922453704</v>
      </c>
      <c r="C14294" s="1" t="n">
        <v>46011</v>
      </c>
      <c r="D14294" t="inlineStr">
        <is>
          <t>VÄSTRA GÖTALANDS LÄN</t>
        </is>
      </c>
      <c r="E14294" t="inlineStr">
        <is>
          <t>FALKÖPING</t>
        </is>
      </c>
      <c r="G14294" t="n">
        <v>7.8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23700-2023</t>
        </is>
      </c>
      <c r="B14295" s="1" t="n">
        <v>45077.62905092593</v>
      </c>
      <c r="C14295" s="1" t="n">
        <v>46011</v>
      </c>
      <c r="D14295" t="inlineStr">
        <is>
          <t>VÄSTRA GÖTALANDS LÄN</t>
        </is>
      </c>
      <c r="E14295" t="inlineStr">
        <is>
          <t>VÄNERSBORG</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49718-2024</t>
        </is>
      </c>
      <c r="B14296" s="1" t="n">
        <v>45596.72018518519</v>
      </c>
      <c r="C14296" s="1" t="n">
        <v>46011</v>
      </c>
      <c r="D14296" t="inlineStr">
        <is>
          <t>VÄSTRA GÖTALANDS LÄN</t>
        </is>
      </c>
      <c r="E14296" t="inlineStr">
        <is>
          <t>UDDEVALLA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11945-2025</t>
        </is>
      </c>
      <c r="B14297" s="1" t="n">
        <v>45728.5480787037</v>
      </c>
      <c r="C14297" s="1" t="n">
        <v>46011</v>
      </c>
      <c r="D14297" t="inlineStr">
        <is>
          <t>VÄSTRA GÖTALANDS LÄN</t>
        </is>
      </c>
      <c r="E14297" t="inlineStr">
        <is>
          <t>TANUM</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14624-2025</t>
        </is>
      </c>
      <c r="B14298" s="1" t="n">
        <v>45742.41969907407</v>
      </c>
      <c r="C14298" s="1" t="n">
        <v>46011</v>
      </c>
      <c r="D14298" t="inlineStr">
        <is>
          <t>VÄSTRA GÖTALANDS LÄN</t>
        </is>
      </c>
      <c r="E14298" t="inlineStr">
        <is>
          <t>SKÖVDE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542-2025</t>
        </is>
      </c>
      <c r="B14299" s="1" t="n">
        <v>45664.52055555556</v>
      </c>
      <c r="C14299" s="1" t="n">
        <v>46011</v>
      </c>
      <c r="D14299" t="inlineStr">
        <is>
          <t>VÄSTRA GÖTALANDS LÄN</t>
        </is>
      </c>
      <c r="E14299" t="inlineStr">
        <is>
          <t>TRANEMO</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49879-2023</t>
        </is>
      </c>
      <c r="B14300" s="1" t="n">
        <v>45213</v>
      </c>
      <c r="C14300" s="1" t="n">
        <v>46011</v>
      </c>
      <c r="D14300" t="inlineStr">
        <is>
          <t>VÄSTRA GÖTALANDS LÄN</t>
        </is>
      </c>
      <c r="E14300" t="inlineStr">
        <is>
          <t>LILLA EDET</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39714-2024</t>
        </is>
      </c>
      <c r="B14301" s="1" t="n">
        <v>45552.60074074074</v>
      </c>
      <c r="C14301" s="1" t="n">
        <v>46011</v>
      </c>
      <c r="D14301" t="inlineStr">
        <is>
          <t>VÄSTRA GÖTALANDS LÄN</t>
        </is>
      </c>
      <c r="E14301" t="inlineStr">
        <is>
          <t>KUNGÄLV</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52164-2023</t>
        </is>
      </c>
      <c r="B14302" s="1" t="n">
        <v>45224</v>
      </c>
      <c r="C14302" s="1" t="n">
        <v>46011</v>
      </c>
      <c r="D14302" t="inlineStr">
        <is>
          <t>VÄSTRA GÖTALANDS LÄN</t>
        </is>
      </c>
      <c r="E14302" t="inlineStr">
        <is>
          <t>HÄRRYDA</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52166-2023</t>
        </is>
      </c>
      <c r="B14303" s="1" t="n">
        <v>45224.3316550926</v>
      </c>
      <c r="C14303" s="1" t="n">
        <v>46011</v>
      </c>
      <c r="D14303" t="inlineStr">
        <is>
          <t>VÄSTRA GÖTALANDS LÄN</t>
        </is>
      </c>
      <c r="E14303" t="inlineStr">
        <is>
          <t>HÄRRYDA</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18811-2024</t>
        </is>
      </c>
      <c r="B14304" s="1" t="n">
        <v>45426.61703703704</v>
      </c>
      <c r="C14304" s="1" t="n">
        <v>46011</v>
      </c>
      <c r="D14304" t="inlineStr">
        <is>
          <t>VÄSTRA GÖTALANDS LÄN</t>
        </is>
      </c>
      <c r="E14304" t="inlineStr">
        <is>
          <t>UDDEVALLA</t>
        </is>
      </c>
      <c r="G14304" t="n">
        <v>0.4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18852-2024</t>
        </is>
      </c>
      <c r="B14305" s="1" t="n">
        <v>45426.69550925926</v>
      </c>
      <c r="C14305" s="1" t="n">
        <v>46011</v>
      </c>
      <c r="D14305" t="inlineStr">
        <is>
          <t>VÄSTRA GÖTALANDS LÄN</t>
        </is>
      </c>
      <c r="E14305" t="inlineStr">
        <is>
          <t>KUNGÄLV</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13252-2024</t>
        </is>
      </c>
      <c r="B14306" s="1" t="n">
        <v>45386.57976851852</v>
      </c>
      <c r="C14306" s="1" t="n">
        <v>46011</v>
      </c>
      <c r="D14306" t="inlineStr">
        <is>
          <t>VÄSTRA GÖTALANDS LÄN</t>
        </is>
      </c>
      <c r="E14306" t="inlineStr">
        <is>
          <t>KARLSBORG</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7760-2025</t>
        </is>
      </c>
      <c r="B14307" s="1" t="n">
        <v>45706.54024305556</v>
      </c>
      <c r="C14307" s="1" t="n">
        <v>46011</v>
      </c>
      <c r="D14307" t="inlineStr">
        <is>
          <t>VÄSTRA GÖTALANDS LÄN</t>
        </is>
      </c>
      <c r="E14307" t="inlineStr">
        <is>
          <t>LIDKÖPING</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57896-2024</t>
        </is>
      </c>
      <c r="B14308" s="1" t="n">
        <v>45631.47197916666</v>
      </c>
      <c r="C14308" s="1" t="n">
        <v>46011</v>
      </c>
      <c r="D14308" t="inlineStr">
        <is>
          <t>VÄSTRA GÖTALANDS LÄN</t>
        </is>
      </c>
      <c r="E14308" t="inlineStr">
        <is>
          <t>MARK</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46345-2024</t>
        </is>
      </c>
      <c r="B14309" s="1" t="n">
        <v>45582.31900462963</v>
      </c>
      <c r="C14309" s="1" t="n">
        <v>46011</v>
      </c>
      <c r="D14309" t="inlineStr">
        <is>
          <t>VÄSTRA GÖTALANDS LÄN</t>
        </is>
      </c>
      <c r="E14309" t="inlineStr">
        <is>
          <t>ULRICEHAMN</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49826-2024</t>
        </is>
      </c>
      <c r="B14310" s="1" t="n">
        <v>45597.40923611111</v>
      </c>
      <c r="C14310" s="1" t="n">
        <v>46011</v>
      </c>
      <c r="D14310" t="inlineStr">
        <is>
          <t>VÄSTRA GÖTALANDS LÄN</t>
        </is>
      </c>
      <c r="E14310" t="inlineStr">
        <is>
          <t>FÄRGELANDA</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57168-2024</t>
        </is>
      </c>
      <c r="B14311" s="1" t="n">
        <v>45629.4267824074</v>
      </c>
      <c r="C14311" s="1" t="n">
        <v>46011</v>
      </c>
      <c r="D14311" t="inlineStr">
        <is>
          <t>VÄSTRA GÖTALANDS LÄN</t>
        </is>
      </c>
      <c r="E14311" t="inlineStr">
        <is>
          <t>MARK</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10943-2025</t>
        </is>
      </c>
      <c r="B14312" s="1" t="n">
        <v>45723.31400462963</v>
      </c>
      <c r="C14312" s="1" t="n">
        <v>46011</v>
      </c>
      <c r="D14312" t="inlineStr">
        <is>
          <t>VÄSTRA GÖTALANDS LÄN</t>
        </is>
      </c>
      <c r="E14312" t="inlineStr">
        <is>
          <t>SVENLJUNGA</t>
        </is>
      </c>
      <c r="F14312" t="inlineStr">
        <is>
          <t>Sveaskog</t>
        </is>
      </c>
      <c r="G14312" t="n">
        <v>11.2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57175-2024</t>
        </is>
      </c>
      <c r="B14313" s="1" t="n">
        <v>45629.43756944445</v>
      </c>
      <c r="C14313" s="1" t="n">
        <v>46011</v>
      </c>
      <c r="D14313" t="inlineStr">
        <is>
          <t>VÄSTRA GÖTALANDS LÄN</t>
        </is>
      </c>
      <c r="E14313" t="inlineStr">
        <is>
          <t>ULRICEHAMN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32158-2023</t>
        </is>
      </c>
      <c r="B14314" s="1" t="n">
        <v>45119.72554398148</v>
      </c>
      <c r="C14314" s="1" t="n">
        <v>46011</v>
      </c>
      <c r="D14314" t="inlineStr">
        <is>
          <t>VÄSTRA GÖTALANDS LÄN</t>
        </is>
      </c>
      <c r="E14314" t="inlineStr">
        <is>
          <t>BORÅS</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61302-2024</t>
        </is>
      </c>
      <c r="B14315" s="1" t="n">
        <v>45645.90855324074</v>
      </c>
      <c r="C14315" s="1" t="n">
        <v>46011</v>
      </c>
      <c r="D14315" t="inlineStr">
        <is>
          <t>VÄSTRA GÖTALANDS LÄN</t>
        </is>
      </c>
      <c r="E14315" t="inlineStr">
        <is>
          <t>ORUST</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19562-2024</t>
        </is>
      </c>
      <c r="B14316" s="1" t="n">
        <v>45429.89168981482</v>
      </c>
      <c r="C14316" s="1" t="n">
        <v>46011</v>
      </c>
      <c r="D14316" t="inlineStr">
        <is>
          <t>VÄSTRA GÖTALANDS LÄN</t>
        </is>
      </c>
      <c r="E14316" t="inlineStr">
        <is>
          <t>ALINGSÅS</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51199-2024</t>
        </is>
      </c>
      <c r="B14317" s="1" t="n">
        <v>45603.61920138889</v>
      </c>
      <c r="C14317" s="1" t="n">
        <v>46011</v>
      </c>
      <c r="D14317" t="inlineStr">
        <is>
          <t>VÄSTRA GÖTALANDS LÄN</t>
        </is>
      </c>
      <c r="E14317" t="inlineStr">
        <is>
          <t>HERRLJUNGA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51200-2024</t>
        </is>
      </c>
      <c r="B14318" s="1" t="n">
        <v>45603.6200925926</v>
      </c>
      <c r="C14318" s="1" t="n">
        <v>46011</v>
      </c>
      <c r="D14318" t="inlineStr">
        <is>
          <t>VÄSTRA GÖTALANDS LÄN</t>
        </is>
      </c>
      <c r="E14318" t="inlineStr">
        <is>
          <t>ULRICEHAMN</t>
        </is>
      </c>
      <c r="F14318" t="inlineStr">
        <is>
          <t>Kommuner</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50562-2024</t>
        </is>
      </c>
      <c r="B14319" s="1" t="n">
        <v>45601.59825231481</v>
      </c>
      <c r="C14319" s="1" t="n">
        <v>46011</v>
      </c>
      <c r="D14319" t="inlineStr">
        <is>
          <t>VÄSTRA GÖTALANDS LÄN</t>
        </is>
      </c>
      <c r="E14319" t="inlineStr">
        <is>
          <t>ORUST</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16424-2024</t>
        </is>
      </c>
      <c r="B14320" s="1" t="n">
        <v>45407.66299768518</v>
      </c>
      <c r="C14320" s="1" t="n">
        <v>46011</v>
      </c>
      <c r="D14320" t="inlineStr">
        <is>
          <t>VÄSTRA GÖTALANDS LÄN</t>
        </is>
      </c>
      <c r="E14320" t="inlineStr">
        <is>
          <t>FÄRGELANDA</t>
        </is>
      </c>
      <c r="G14320" t="n">
        <v>9.800000000000001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1576-2024</t>
        </is>
      </c>
      <c r="B14321" s="1" t="n">
        <v>45306.5512037037</v>
      </c>
      <c r="C14321" s="1" t="n">
        <v>46011</v>
      </c>
      <c r="D14321" t="inlineStr">
        <is>
          <t>VÄSTRA GÖTALANDS LÄN</t>
        </is>
      </c>
      <c r="E14321" t="inlineStr">
        <is>
          <t>MUNKEDAL</t>
        </is>
      </c>
      <c r="G14321" t="n">
        <v>25.2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16475-2024</t>
        </is>
      </c>
      <c r="B14322" s="1" t="n">
        <v>45408.24853009259</v>
      </c>
      <c r="C14322" s="1" t="n">
        <v>46011</v>
      </c>
      <c r="D14322" t="inlineStr">
        <is>
          <t>VÄSTRA GÖTALANDS LÄN</t>
        </is>
      </c>
      <c r="E14322" t="inlineStr">
        <is>
          <t>ULRICEHAMN</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58483-2024</t>
        </is>
      </c>
      <c r="B14323" s="1" t="n">
        <v>45632</v>
      </c>
      <c r="C14323" s="1" t="n">
        <v>46011</v>
      </c>
      <c r="D14323" t="inlineStr">
        <is>
          <t>VÄSTRA GÖTALANDS LÄN</t>
        </is>
      </c>
      <c r="E14323" t="inlineStr">
        <is>
          <t>BORÅS</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53098-2023</t>
        </is>
      </c>
      <c r="B14324" s="1" t="n">
        <v>45227.90935185185</v>
      </c>
      <c r="C14324" s="1" t="n">
        <v>46011</v>
      </c>
      <c r="D14324" t="inlineStr">
        <is>
          <t>VÄSTRA GÖTALANDS LÄN</t>
        </is>
      </c>
      <c r="E14324" t="inlineStr">
        <is>
          <t>TRANEMO</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26731-2023</t>
        </is>
      </c>
      <c r="B14325" s="1" t="n">
        <v>45093</v>
      </c>
      <c r="C14325" s="1" t="n">
        <v>46011</v>
      </c>
      <c r="D14325" t="inlineStr">
        <is>
          <t>VÄSTRA GÖTALANDS LÄN</t>
        </is>
      </c>
      <c r="E14325" t="inlineStr">
        <is>
          <t>FALKÖPING</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26733-2023</t>
        </is>
      </c>
      <c r="B14326" s="1" t="n">
        <v>45093.41903935185</v>
      </c>
      <c r="C14326" s="1" t="n">
        <v>46011</v>
      </c>
      <c r="D14326" t="inlineStr">
        <is>
          <t>VÄSTRA GÖTALANDS LÄN</t>
        </is>
      </c>
      <c r="E14326" t="inlineStr">
        <is>
          <t>SKÖVDE</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7974-2025</t>
        </is>
      </c>
      <c r="B14327" s="1" t="n">
        <v>45707</v>
      </c>
      <c r="C14327" s="1" t="n">
        <v>46011</v>
      </c>
      <c r="D14327" t="inlineStr">
        <is>
          <t>VÄSTRA GÖTALANDS LÄN</t>
        </is>
      </c>
      <c r="E14327" t="inlineStr">
        <is>
          <t>SKARA</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56413-2024</t>
        </is>
      </c>
      <c r="B14328" s="1" t="n">
        <v>45623</v>
      </c>
      <c r="C14328" s="1" t="n">
        <v>46011</v>
      </c>
      <c r="D14328" t="inlineStr">
        <is>
          <t>VÄSTRA GÖTALANDS LÄN</t>
        </is>
      </c>
      <c r="E14328" t="inlineStr">
        <is>
          <t>LIDKÖPING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5009-2025</t>
        </is>
      </c>
      <c r="B14329" s="1" t="n">
        <v>45691</v>
      </c>
      <c r="C14329" s="1" t="n">
        <v>46011</v>
      </c>
      <c r="D14329" t="inlineStr">
        <is>
          <t>VÄSTRA GÖTALANDS LÄN</t>
        </is>
      </c>
      <c r="E14329" t="inlineStr">
        <is>
          <t>VÄNERSBORG</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8650-2025</t>
        </is>
      </c>
      <c r="B14330" s="1" t="n">
        <v>45712.36020833333</v>
      </c>
      <c r="C14330" s="1" t="n">
        <v>46011</v>
      </c>
      <c r="D14330" t="inlineStr">
        <is>
          <t>VÄSTRA GÖTALANDS LÄN</t>
        </is>
      </c>
      <c r="E14330" t="inlineStr">
        <is>
          <t>GRÄSTORP</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36999-2023</t>
        </is>
      </c>
      <c r="B14331" s="1" t="n">
        <v>45155.24585648148</v>
      </c>
      <c r="C14331" s="1" t="n">
        <v>46011</v>
      </c>
      <c r="D14331" t="inlineStr">
        <is>
          <t>VÄSTRA GÖTALANDS LÄN</t>
        </is>
      </c>
      <c r="E14331" t="inlineStr">
        <is>
          <t>ORUST</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6217-2025</t>
        </is>
      </c>
      <c r="B14332" s="1" t="n">
        <v>45696</v>
      </c>
      <c r="C14332" s="1" t="n">
        <v>46011</v>
      </c>
      <c r="D14332" t="inlineStr">
        <is>
          <t>VÄSTRA GÖTALANDS LÄN</t>
        </is>
      </c>
      <c r="E14332" t="inlineStr">
        <is>
          <t>MUNKEDAL</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4672-2025</t>
        </is>
      </c>
      <c r="B14333" s="1" t="n">
        <v>45687.79815972222</v>
      </c>
      <c r="C14333" s="1" t="n">
        <v>46011</v>
      </c>
      <c r="D14333" t="inlineStr">
        <is>
          <t>VÄSTRA GÖTALANDS LÄN</t>
        </is>
      </c>
      <c r="E14333" t="inlineStr">
        <is>
          <t>FÄRGELANDA</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13715-2025</t>
        </is>
      </c>
      <c r="B14334" s="1" t="n">
        <v>45737.35607638889</v>
      </c>
      <c r="C14334" s="1" t="n">
        <v>46011</v>
      </c>
      <c r="D14334" t="inlineStr">
        <is>
          <t>VÄSTRA GÖTALANDS LÄN</t>
        </is>
      </c>
      <c r="E14334" t="inlineStr">
        <is>
          <t>UDDEVALLA</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50364-2024</t>
        </is>
      </c>
      <c r="B14335" s="1" t="n">
        <v>45600.86899305556</v>
      </c>
      <c r="C14335" s="1" t="n">
        <v>46011</v>
      </c>
      <c r="D14335" t="inlineStr">
        <is>
          <t>VÄSTRA GÖTALANDS LÄN</t>
        </is>
      </c>
      <c r="E14335" t="inlineStr">
        <is>
          <t>ESSUNGA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17705-2025</t>
        </is>
      </c>
      <c r="B14336" s="1" t="n">
        <v>45758.43197916666</v>
      </c>
      <c r="C14336" s="1" t="n">
        <v>46011</v>
      </c>
      <c r="D14336" t="inlineStr">
        <is>
          <t>VÄSTRA GÖTALANDS LÄN</t>
        </is>
      </c>
      <c r="E14336" t="inlineStr">
        <is>
          <t>SKARA</t>
        </is>
      </c>
      <c r="F14336" t="inlineStr">
        <is>
          <t>Sveaskog</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17709-2025</t>
        </is>
      </c>
      <c r="B14337" s="1" t="n">
        <v>45758.43493055556</v>
      </c>
      <c r="C14337" s="1" t="n">
        <v>46011</v>
      </c>
      <c r="D14337" t="inlineStr">
        <is>
          <t>VÄSTRA GÖTALANDS LÄN</t>
        </is>
      </c>
      <c r="E14337" t="inlineStr">
        <is>
          <t>SKARA</t>
        </is>
      </c>
      <c r="F14337" t="inlineStr">
        <is>
          <t>Sveaskog</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56805-2023</t>
        </is>
      </c>
      <c r="B14338" s="1" t="n">
        <v>45244</v>
      </c>
      <c r="C14338" s="1" t="n">
        <v>46011</v>
      </c>
      <c r="D14338" t="inlineStr">
        <is>
          <t>VÄSTRA GÖTALANDS LÄN</t>
        </is>
      </c>
      <c r="E14338" t="inlineStr">
        <is>
          <t>TÖREBODA</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47541-2024</t>
        </is>
      </c>
      <c r="B14339" s="1" t="n">
        <v>45587.65398148148</v>
      </c>
      <c r="C14339" s="1" t="n">
        <v>46011</v>
      </c>
      <c r="D14339" t="inlineStr">
        <is>
          <t>VÄSTRA GÖTALANDS LÄN</t>
        </is>
      </c>
      <c r="E14339" t="inlineStr">
        <is>
          <t>MARK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2280-2025</t>
        </is>
      </c>
      <c r="B14340" s="1" t="n">
        <v>45673</v>
      </c>
      <c r="C14340" s="1" t="n">
        <v>46011</v>
      </c>
      <c r="D14340" t="inlineStr">
        <is>
          <t>VÄSTRA GÖTALANDS LÄN</t>
        </is>
      </c>
      <c r="E14340" t="inlineStr">
        <is>
          <t>MARIESTAD</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14625-2025</t>
        </is>
      </c>
      <c r="B14341" s="1" t="n">
        <v>45742.42097222222</v>
      </c>
      <c r="C14341" s="1" t="n">
        <v>46011</v>
      </c>
      <c r="D14341" t="inlineStr">
        <is>
          <t>VÄSTRA GÖTALANDS LÄN</t>
        </is>
      </c>
      <c r="E14341" t="inlineStr">
        <is>
          <t>MARK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18939-2024</t>
        </is>
      </c>
      <c r="B14342" s="1" t="n">
        <v>45427.46386574074</v>
      </c>
      <c r="C14342" s="1" t="n">
        <v>46011</v>
      </c>
      <c r="D14342" t="inlineStr">
        <is>
          <t>VÄSTRA GÖTALANDS LÄN</t>
        </is>
      </c>
      <c r="E14342" t="inlineStr">
        <is>
          <t>ÅMÅL</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18940-2024</t>
        </is>
      </c>
      <c r="B14343" s="1" t="n">
        <v>45427.46807870371</v>
      </c>
      <c r="C14343" s="1" t="n">
        <v>46011</v>
      </c>
      <c r="D14343" t="inlineStr">
        <is>
          <t>VÄSTRA GÖTALANDS LÄN</t>
        </is>
      </c>
      <c r="E14343" t="inlineStr">
        <is>
          <t>ALINGSÅS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32887-2023</t>
        </is>
      </c>
      <c r="B14344" s="1" t="n">
        <v>45112</v>
      </c>
      <c r="C14344" s="1" t="n">
        <v>46011</v>
      </c>
      <c r="D14344" t="inlineStr">
        <is>
          <t>VÄSTRA GÖTALANDS LÄN</t>
        </is>
      </c>
      <c r="E14344" t="inlineStr">
        <is>
          <t>ÅMÅL</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32889-2023</t>
        </is>
      </c>
      <c r="B14345" s="1" t="n">
        <v>45112</v>
      </c>
      <c r="C14345" s="1" t="n">
        <v>46011</v>
      </c>
      <c r="D14345" t="inlineStr">
        <is>
          <t>VÄSTRA GÖTALANDS LÄN</t>
        </is>
      </c>
      <c r="E14345" t="inlineStr">
        <is>
          <t>ÅMÅL</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63175-2023</t>
        </is>
      </c>
      <c r="B14346" s="1" t="n">
        <v>45273</v>
      </c>
      <c r="C14346" s="1" t="n">
        <v>46011</v>
      </c>
      <c r="D14346" t="inlineStr">
        <is>
          <t>VÄSTRA GÖTALANDS LÄN</t>
        </is>
      </c>
      <c r="E14346" t="inlineStr">
        <is>
          <t>TANUM</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63176-2023</t>
        </is>
      </c>
      <c r="B14347" s="1" t="n">
        <v>45273.57741898148</v>
      </c>
      <c r="C14347" s="1" t="n">
        <v>46011</v>
      </c>
      <c r="D14347" t="inlineStr">
        <is>
          <t>VÄSTRA GÖTALANDS LÄN</t>
        </is>
      </c>
      <c r="E14347" t="inlineStr">
        <is>
          <t>FÄRGELANDA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41943-2024</t>
        </is>
      </c>
      <c r="B14348" s="1" t="n">
        <v>45561.57412037037</v>
      </c>
      <c r="C14348" s="1" t="n">
        <v>46011</v>
      </c>
      <c r="D14348" t="inlineStr">
        <is>
          <t>VÄSTRA GÖTALANDS LÄN</t>
        </is>
      </c>
      <c r="E14348" t="inlineStr">
        <is>
          <t>KARLSBORG</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60923-2024</t>
        </is>
      </c>
      <c r="B14349" s="1" t="n">
        <v>45645.35217592592</v>
      </c>
      <c r="C14349" s="1" t="n">
        <v>46011</v>
      </c>
      <c r="D14349" t="inlineStr">
        <is>
          <t>VÄSTRA GÖTALANDS LÄN</t>
        </is>
      </c>
      <c r="E14349" t="inlineStr">
        <is>
          <t>TIDAHOLM</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1941-2025</t>
        </is>
      </c>
      <c r="B14350" s="1" t="n">
        <v>45672</v>
      </c>
      <c r="C14350" s="1" t="n">
        <v>46011</v>
      </c>
      <c r="D14350" t="inlineStr">
        <is>
          <t>VÄSTRA GÖTALANDS LÄN</t>
        </is>
      </c>
      <c r="E14350" t="inlineStr">
        <is>
          <t>TIDAHOLM</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333-2025</t>
        </is>
      </c>
      <c r="B14351" s="1" t="n">
        <v>45659</v>
      </c>
      <c r="C14351" s="1" t="n">
        <v>46011</v>
      </c>
      <c r="D14351" t="inlineStr">
        <is>
          <t>VÄSTRA GÖTALANDS LÄN</t>
        </is>
      </c>
      <c r="E14351" t="inlineStr">
        <is>
          <t>ÅMÅL</t>
        </is>
      </c>
      <c r="F14351" t="inlineStr">
        <is>
          <t>Bergvik skog väst AB</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9152-2024</t>
        </is>
      </c>
      <c r="B14352" s="1" t="n">
        <v>45357</v>
      </c>
      <c r="C14352" s="1" t="n">
        <v>46011</v>
      </c>
      <c r="D14352" t="inlineStr">
        <is>
          <t>VÄSTRA GÖTALANDS LÄN</t>
        </is>
      </c>
      <c r="E14352" t="inlineStr">
        <is>
          <t>MELLERUD</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9154-2024</t>
        </is>
      </c>
      <c r="B14353" s="1" t="n">
        <v>45358.38795138889</v>
      </c>
      <c r="C14353" s="1" t="n">
        <v>46011</v>
      </c>
      <c r="D14353" t="inlineStr">
        <is>
          <t>VÄSTRA GÖTALANDS LÄN</t>
        </is>
      </c>
      <c r="E14353" t="inlineStr">
        <is>
          <t>BENGTSFORS</t>
        </is>
      </c>
      <c r="G14353" t="n">
        <v>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10842-2025</t>
        </is>
      </c>
      <c r="B14354" s="1" t="n">
        <v>45722.57545138889</v>
      </c>
      <c r="C14354" s="1" t="n">
        <v>46011</v>
      </c>
      <c r="D14354" t="inlineStr">
        <is>
          <t>VÄSTRA GÖTALANDS LÄN</t>
        </is>
      </c>
      <c r="E14354" t="inlineStr">
        <is>
          <t>MARIESTAD</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17077-2023</t>
        </is>
      </c>
      <c r="B14355" s="1" t="n">
        <v>45034</v>
      </c>
      <c r="C14355" s="1" t="n">
        <v>46011</v>
      </c>
      <c r="D14355" t="inlineStr">
        <is>
          <t>VÄSTRA GÖTALANDS LÄN</t>
        </is>
      </c>
      <c r="E14355" t="inlineStr">
        <is>
          <t>VÄNERSBORG</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9168-2024</t>
        </is>
      </c>
      <c r="B14356" s="1" t="n">
        <v>45358.41972222222</v>
      </c>
      <c r="C14356" s="1" t="n">
        <v>46011</v>
      </c>
      <c r="D14356" t="inlineStr">
        <is>
          <t>VÄSTRA GÖTALANDS LÄN</t>
        </is>
      </c>
      <c r="E14356" t="inlineStr">
        <is>
          <t>TRANEMO</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4845-2024</t>
        </is>
      </c>
      <c r="B14357" s="1" t="n">
        <v>45329.35953703704</v>
      </c>
      <c r="C14357" s="1" t="n">
        <v>46011</v>
      </c>
      <c r="D14357" t="inlineStr">
        <is>
          <t>VÄSTRA GÖTALANDS LÄN</t>
        </is>
      </c>
      <c r="E14357" t="inlineStr">
        <is>
          <t>VÅRGÅRDA</t>
        </is>
      </c>
      <c r="G14357" t="n">
        <v>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54190-2024</t>
        </is>
      </c>
      <c r="B14358" s="1" t="n">
        <v>45616.64193287037</v>
      </c>
      <c r="C14358" s="1" t="n">
        <v>46011</v>
      </c>
      <c r="D14358" t="inlineStr">
        <is>
          <t>VÄSTRA GÖTALANDS LÄN</t>
        </is>
      </c>
      <c r="E14358" t="inlineStr">
        <is>
          <t>HERRLJUNGA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54191-2024</t>
        </is>
      </c>
      <c r="B14359" s="1" t="n">
        <v>45616.64283564815</v>
      </c>
      <c r="C14359" s="1" t="n">
        <v>46011</v>
      </c>
      <c r="D14359" t="inlineStr">
        <is>
          <t>VÄSTRA GÖTALANDS LÄN</t>
        </is>
      </c>
      <c r="E14359" t="inlineStr">
        <is>
          <t>HERRLJUNGA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20468-2025</t>
        </is>
      </c>
      <c r="B14360" s="1" t="n">
        <v>45775.54140046296</v>
      </c>
      <c r="C14360" s="1" t="n">
        <v>46011</v>
      </c>
      <c r="D14360" t="inlineStr">
        <is>
          <t>VÄSTRA GÖTALANDS LÄN</t>
        </is>
      </c>
      <c r="E14360" t="inlineStr">
        <is>
          <t>FALKÖPING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55145-2024</t>
        </is>
      </c>
      <c r="B14361" s="1" t="n">
        <v>45621</v>
      </c>
      <c r="C14361" s="1" t="n">
        <v>46011</v>
      </c>
      <c r="D14361" t="inlineStr">
        <is>
          <t>VÄSTRA GÖTALANDS LÄN</t>
        </is>
      </c>
      <c r="E14361" t="inlineStr">
        <is>
          <t>GULLSPÅNG</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6509-2025</t>
        </is>
      </c>
      <c r="B14362" s="1" t="n">
        <v>45699.65163194444</v>
      </c>
      <c r="C14362" s="1" t="n">
        <v>46011</v>
      </c>
      <c r="D14362" t="inlineStr">
        <is>
          <t>VÄSTRA GÖTALANDS LÄN</t>
        </is>
      </c>
      <c r="E14362" t="inlineStr">
        <is>
          <t>LYSEKIL</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12496-2025</t>
        </is>
      </c>
      <c r="B14363" s="1" t="n">
        <v>45730</v>
      </c>
      <c r="C14363" s="1" t="n">
        <v>46011</v>
      </c>
      <c r="D14363" t="inlineStr">
        <is>
          <t>VÄSTRA GÖTALANDS LÄN</t>
        </is>
      </c>
      <c r="E14363" t="inlineStr">
        <is>
          <t>BORÅS</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55022-2023</t>
        </is>
      </c>
      <c r="B14364" s="1" t="n">
        <v>45237.33038194444</v>
      </c>
      <c r="C14364" s="1" t="n">
        <v>46011</v>
      </c>
      <c r="D14364" t="inlineStr">
        <is>
          <t>VÄSTRA GÖTALANDS LÄN</t>
        </is>
      </c>
      <c r="E14364" t="inlineStr">
        <is>
          <t>TANUM</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12275-2025</t>
        </is>
      </c>
      <c r="B14365" s="1" t="n">
        <v>45729</v>
      </c>
      <c r="C14365" s="1" t="n">
        <v>46011</v>
      </c>
      <c r="D14365" t="inlineStr">
        <is>
          <t>VÄSTRA GÖTALANDS LÄN</t>
        </is>
      </c>
      <c r="E14365" t="inlineStr">
        <is>
          <t>HJO</t>
        </is>
      </c>
      <c r="G14365" t="n">
        <v>7.5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58976-2023</t>
        </is>
      </c>
      <c r="B14366" s="1" t="n">
        <v>45252.61841435185</v>
      </c>
      <c r="C14366" s="1" t="n">
        <v>46011</v>
      </c>
      <c r="D14366" t="inlineStr">
        <is>
          <t>VÄSTRA GÖTALANDS LÄN</t>
        </is>
      </c>
      <c r="E14366" t="inlineStr">
        <is>
          <t>TRANEMO</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59272-2023</t>
        </is>
      </c>
      <c r="B14367" s="1" t="n">
        <v>45253.55487268518</v>
      </c>
      <c r="C14367" s="1" t="n">
        <v>46011</v>
      </c>
      <c r="D14367" t="inlineStr">
        <is>
          <t>VÄSTRA GÖTALANDS LÄN</t>
        </is>
      </c>
      <c r="E14367" t="inlineStr">
        <is>
          <t>VARA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59273-2023</t>
        </is>
      </c>
      <c r="B14368" s="1" t="n">
        <v>45253.55516203704</v>
      </c>
      <c r="C14368" s="1" t="n">
        <v>46011</v>
      </c>
      <c r="D14368" t="inlineStr">
        <is>
          <t>VÄSTRA GÖTALANDS LÄN</t>
        </is>
      </c>
      <c r="E14368" t="inlineStr">
        <is>
          <t>TIBRO</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1968-2025</t>
        </is>
      </c>
      <c r="B14369" s="1" t="n">
        <v>45671</v>
      </c>
      <c r="C14369" s="1" t="n">
        <v>46011</v>
      </c>
      <c r="D14369" t="inlineStr">
        <is>
          <t>VÄSTRA GÖTALANDS LÄN</t>
        </is>
      </c>
      <c r="E14369" t="inlineStr">
        <is>
          <t>ÅMÅL</t>
        </is>
      </c>
      <c r="F14369" t="inlineStr">
        <is>
          <t>Bergvik skog väst AB</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4029-2025</t>
        </is>
      </c>
      <c r="B14370" s="1" t="n">
        <v>45684.59584490741</v>
      </c>
      <c r="C14370" s="1" t="n">
        <v>46011</v>
      </c>
      <c r="D14370" t="inlineStr">
        <is>
          <t>VÄSTRA GÖTALANDS LÄN</t>
        </is>
      </c>
      <c r="E14370" t="inlineStr">
        <is>
          <t>MUNKEDAL</t>
        </is>
      </c>
      <c r="F14370" t="inlineStr">
        <is>
          <t>Kommuner</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61242-2024</t>
        </is>
      </c>
      <c r="B14371" s="1" t="n">
        <v>45645.68443287037</v>
      </c>
      <c r="C14371" s="1" t="n">
        <v>46011</v>
      </c>
      <c r="D14371" t="inlineStr">
        <is>
          <t>VÄSTRA GÖTALANDS LÄN</t>
        </is>
      </c>
      <c r="E14371" t="inlineStr">
        <is>
          <t>BENGTSFORS</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4052-2025</t>
        </is>
      </c>
      <c r="B14372" s="1" t="n">
        <v>45684.61820601852</v>
      </c>
      <c r="C14372" s="1" t="n">
        <v>46011</v>
      </c>
      <c r="D14372" t="inlineStr">
        <is>
          <t>VÄSTRA GÖTALANDS LÄN</t>
        </is>
      </c>
      <c r="E14372" t="inlineStr">
        <is>
          <t>TIDAHOLM</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61250-2024</t>
        </is>
      </c>
      <c r="B14373" s="1" t="n">
        <v>45645.69521990741</v>
      </c>
      <c r="C14373" s="1" t="n">
        <v>46011</v>
      </c>
      <c r="D14373" t="inlineStr">
        <is>
          <t>VÄSTRA GÖTALANDS LÄN</t>
        </is>
      </c>
      <c r="E14373" t="inlineStr">
        <is>
          <t>STRÖMSTAD</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4077-2025</t>
        </is>
      </c>
      <c r="B14374" s="1" t="n">
        <v>45684.6493287037</v>
      </c>
      <c r="C14374" s="1" t="n">
        <v>46011</v>
      </c>
      <c r="D14374" t="inlineStr">
        <is>
          <t>VÄSTRA GÖTALANDS LÄN</t>
        </is>
      </c>
      <c r="E14374" t="inlineStr">
        <is>
          <t>TROLLHÄTTAN</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2187-2025</t>
        </is>
      </c>
      <c r="B14375" s="1" t="n">
        <v>45673.36258101852</v>
      </c>
      <c r="C14375" s="1" t="n">
        <v>46011</v>
      </c>
      <c r="D14375" t="inlineStr">
        <is>
          <t>VÄSTRA GÖTALANDS LÄN</t>
        </is>
      </c>
      <c r="E14375" t="inlineStr">
        <is>
          <t>ALINGSÅS</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45523-2023</t>
        </is>
      </c>
      <c r="B14376" s="1" t="n">
        <v>45194.50590277778</v>
      </c>
      <c r="C14376" s="1" t="n">
        <v>46011</v>
      </c>
      <c r="D14376" t="inlineStr">
        <is>
          <t>VÄSTRA GÖTALANDS LÄN</t>
        </is>
      </c>
      <c r="E14376" t="inlineStr">
        <is>
          <t>SVENLJUNGA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17822-2025</t>
        </is>
      </c>
      <c r="B14377" s="1" t="n">
        <v>45758.57092592592</v>
      </c>
      <c r="C14377" s="1" t="n">
        <v>46011</v>
      </c>
      <c r="D14377" t="inlineStr">
        <is>
          <t>VÄSTRA GÖTALANDS LÄN</t>
        </is>
      </c>
      <c r="E14377" t="inlineStr">
        <is>
          <t>MARK</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7977-2025</t>
        </is>
      </c>
      <c r="B14378" s="1" t="n">
        <v>45707.46462962963</v>
      </c>
      <c r="C14378" s="1" t="n">
        <v>46011</v>
      </c>
      <c r="D14378" t="inlineStr">
        <is>
          <t>VÄSTRA GÖTALANDS LÄN</t>
        </is>
      </c>
      <c r="E14378" t="inlineStr">
        <is>
          <t>KARLSBORG</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7161-2025</t>
        </is>
      </c>
      <c r="B14379" s="1" t="n">
        <v>45702.38982638889</v>
      </c>
      <c r="C14379" s="1" t="n">
        <v>46011</v>
      </c>
      <c r="D14379" t="inlineStr">
        <is>
          <t>VÄSTRA GÖTALANDS LÄN</t>
        </is>
      </c>
      <c r="E14379" t="inlineStr">
        <is>
          <t>MARIESTAD</t>
        </is>
      </c>
      <c r="F14379" t="inlineStr">
        <is>
          <t>Sveaskog</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62294-2022</t>
        </is>
      </c>
      <c r="B14380" s="1" t="n">
        <v>44923</v>
      </c>
      <c r="C14380" s="1" t="n">
        <v>46011</v>
      </c>
      <c r="D14380" t="inlineStr">
        <is>
          <t>VÄSTRA GÖTALANDS LÄN</t>
        </is>
      </c>
      <c r="E14380" t="inlineStr">
        <is>
          <t>TROLLHÄTTAN</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5655-2025</t>
        </is>
      </c>
      <c r="B14381" s="1" t="n">
        <v>45693.72674768518</v>
      </c>
      <c r="C14381" s="1" t="n">
        <v>46011</v>
      </c>
      <c r="D14381" t="inlineStr">
        <is>
          <t>VÄSTRA GÖTALANDS LÄN</t>
        </is>
      </c>
      <c r="E14381" t="inlineStr">
        <is>
          <t>DALS-ED</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5420-2025</t>
        </is>
      </c>
      <c r="B14382" s="1" t="n">
        <v>45692.68938657407</v>
      </c>
      <c r="C14382" s="1" t="n">
        <v>46011</v>
      </c>
      <c r="D14382" t="inlineStr">
        <is>
          <t>VÄSTRA GÖTALANDS LÄN</t>
        </is>
      </c>
      <c r="E14382" t="inlineStr">
        <is>
          <t>LILLA EDET</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21982-2024</t>
        </is>
      </c>
      <c r="B14383" s="1" t="n">
        <v>45443</v>
      </c>
      <c r="C14383" s="1" t="n">
        <v>46011</v>
      </c>
      <c r="D14383" t="inlineStr">
        <is>
          <t>VÄSTRA GÖTALANDS LÄN</t>
        </is>
      </c>
      <c r="E14383" t="inlineStr">
        <is>
          <t>BENGTSFORS</t>
        </is>
      </c>
      <c r="F14383" t="inlineStr">
        <is>
          <t>Kyrkan</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12507-2025</t>
        </is>
      </c>
      <c r="B14384" s="1" t="n">
        <v>45730.63413194445</v>
      </c>
      <c r="C14384" s="1" t="n">
        <v>46011</v>
      </c>
      <c r="D14384" t="inlineStr">
        <is>
          <t>VÄSTRA GÖTALANDS LÄN</t>
        </is>
      </c>
      <c r="E14384" t="inlineStr">
        <is>
          <t>FÄRGELANDA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15311-2025</t>
        </is>
      </c>
      <c r="B14385" s="1" t="n">
        <v>45746.8065625</v>
      </c>
      <c r="C14385" s="1" t="n">
        <v>46011</v>
      </c>
      <c r="D14385" t="inlineStr">
        <is>
          <t>VÄSTRA GÖTALANDS LÄN</t>
        </is>
      </c>
      <c r="E14385" t="inlineStr">
        <is>
          <t>TRANEMO</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15374-2025</t>
        </is>
      </c>
      <c r="B14386" s="1" t="n">
        <v>45747.40619212963</v>
      </c>
      <c r="C14386" s="1" t="n">
        <v>46011</v>
      </c>
      <c r="D14386" t="inlineStr">
        <is>
          <t>VÄSTRA GÖTALANDS LÄN</t>
        </is>
      </c>
      <c r="E14386" t="inlineStr">
        <is>
          <t>LIDKÖPING</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15381-2025</t>
        </is>
      </c>
      <c r="B14387" s="1" t="n">
        <v>45747.4102199074</v>
      </c>
      <c r="C14387" s="1" t="n">
        <v>46011</v>
      </c>
      <c r="D14387" t="inlineStr">
        <is>
          <t>VÄSTRA GÖTALANDS LÄN</t>
        </is>
      </c>
      <c r="E14387" t="inlineStr">
        <is>
          <t>TANUM</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45002-2024</t>
        </is>
      </c>
      <c r="B14388" s="1" t="n">
        <v>45575.48587962963</v>
      </c>
      <c r="C14388" s="1" t="n">
        <v>46011</v>
      </c>
      <c r="D14388" t="inlineStr">
        <is>
          <t>VÄSTRA GÖTALANDS LÄN</t>
        </is>
      </c>
      <c r="E14388" t="inlineStr">
        <is>
          <t>GULLSPÅNG</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5471-2024</t>
        </is>
      </c>
      <c r="B14389" s="1" t="n">
        <v>45332</v>
      </c>
      <c r="C14389" s="1" t="n">
        <v>46011</v>
      </c>
      <c r="D14389" t="inlineStr">
        <is>
          <t>VÄSTRA GÖTALANDS LÄN</t>
        </is>
      </c>
      <c r="E14389" t="inlineStr">
        <is>
          <t>ULRICEHAMN</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7596-2025</t>
        </is>
      </c>
      <c r="B14390" s="1" t="n">
        <v>45705.65067129629</v>
      </c>
      <c r="C14390" s="1" t="n">
        <v>46011</v>
      </c>
      <c r="D14390" t="inlineStr">
        <is>
          <t>VÄSTRA GÖTALANDS LÄN</t>
        </is>
      </c>
      <c r="E14390" t="inlineStr">
        <is>
          <t>GULLSPÅNG</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7631-2025</t>
        </is>
      </c>
      <c r="B14391" s="1" t="n">
        <v>45705.75006944445</v>
      </c>
      <c r="C14391" s="1" t="n">
        <v>46011</v>
      </c>
      <c r="D14391" t="inlineStr">
        <is>
          <t>VÄSTRA GÖTALANDS LÄN</t>
        </is>
      </c>
      <c r="E14391" t="inlineStr">
        <is>
          <t>ALINGSÅS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8152-2023</t>
        </is>
      </c>
      <c r="B14392" s="1" t="n">
        <v>44974</v>
      </c>
      <c r="C14392" s="1" t="n">
        <v>46011</v>
      </c>
      <c r="D14392" t="inlineStr">
        <is>
          <t>VÄSTRA GÖTALANDS LÄN</t>
        </is>
      </c>
      <c r="E14392" t="inlineStr">
        <is>
          <t>MELLERUD</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13049-2023</t>
        </is>
      </c>
      <c r="B14393" s="1" t="n">
        <v>45002</v>
      </c>
      <c r="C14393" s="1" t="n">
        <v>46011</v>
      </c>
      <c r="D14393" t="inlineStr">
        <is>
          <t>VÄSTRA GÖTALANDS LÄN</t>
        </is>
      </c>
      <c r="E14393" t="inlineStr">
        <is>
          <t>GULLSPÅNG</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4036-2024</t>
        </is>
      </c>
      <c r="B14394" s="1" t="n">
        <v>45323.41983796296</v>
      </c>
      <c r="C14394" s="1" t="n">
        <v>46011</v>
      </c>
      <c r="D14394" t="inlineStr">
        <is>
          <t>VÄSTRA GÖTALANDS LÄN</t>
        </is>
      </c>
      <c r="E14394" t="inlineStr">
        <is>
          <t>VARA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23696-2024</t>
        </is>
      </c>
      <c r="B14395" s="1" t="n">
        <v>45454.66947916667</v>
      </c>
      <c r="C14395" s="1" t="n">
        <v>46011</v>
      </c>
      <c r="D14395" t="inlineStr">
        <is>
          <t>VÄSTRA GÖTALANDS LÄN</t>
        </is>
      </c>
      <c r="E14395" t="inlineStr">
        <is>
          <t>TANUM</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23698-2024</t>
        </is>
      </c>
      <c r="B14396" s="1" t="n">
        <v>45454.67317129629</v>
      </c>
      <c r="C14396" s="1" t="n">
        <v>46011</v>
      </c>
      <c r="D14396" t="inlineStr">
        <is>
          <t>VÄSTRA GÖTALANDS LÄN</t>
        </is>
      </c>
      <c r="E14396" t="inlineStr">
        <is>
          <t>TANUM</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19981-2025</t>
        </is>
      </c>
      <c r="B14397" s="1" t="n">
        <v>45771.71726851852</v>
      </c>
      <c r="C14397" s="1" t="n">
        <v>46011</v>
      </c>
      <c r="D14397" t="inlineStr">
        <is>
          <t>VÄSTRA GÖTALANDS LÄN</t>
        </is>
      </c>
      <c r="E14397" t="inlineStr">
        <is>
          <t>UDDEVALLA</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19999-2025</t>
        </is>
      </c>
      <c r="B14398" s="1" t="n">
        <v>45771.84162037037</v>
      </c>
      <c r="C14398" s="1" t="n">
        <v>46011</v>
      </c>
      <c r="D14398" t="inlineStr">
        <is>
          <t>VÄSTRA GÖTALANDS LÄN</t>
        </is>
      </c>
      <c r="E14398" t="inlineStr">
        <is>
          <t>TRANEMO</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27103-2024</t>
        </is>
      </c>
      <c r="B14399" s="1" t="n">
        <v>45471.4950462963</v>
      </c>
      <c r="C14399" s="1" t="n">
        <v>46011</v>
      </c>
      <c r="D14399" t="inlineStr">
        <is>
          <t>VÄSTRA GÖTALANDS LÄN</t>
        </is>
      </c>
      <c r="E14399" t="inlineStr">
        <is>
          <t>BOLLEBYGD</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57439-2024</t>
        </is>
      </c>
      <c r="B14400" s="1" t="n">
        <v>45629.87395833333</v>
      </c>
      <c r="C14400" s="1" t="n">
        <v>46011</v>
      </c>
      <c r="D14400" t="inlineStr">
        <is>
          <t>VÄSTRA GÖTALANDS LÄN</t>
        </is>
      </c>
      <c r="E14400" t="inlineStr">
        <is>
          <t>BORÅS</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57443-2024</t>
        </is>
      </c>
      <c r="B14401" s="1" t="n">
        <v>45629.8953587963</v>
      </c>
      <c r="C14401" s="1" t="n">
        <v>46011</v>
      </c>
      <c r="D14401" t="inlineStr">
        <is>
          <t>VÄSTRA GÖTALANDS LÄN</t>
        </is>
      </c>
      <c r="E14401" t="inlineStr">
        <is>
          <t>BOLLEBYGD</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57465-2024</t>
        </is>
      </c>
      <c r="B14402" s="1" t="n">
        <v>45630.32784722222</v>
      </c>
      <c r="C14402" s="1" t="n">
        <v>46011</v>
      </c>
      <c r="D14402" t="inlineStr">
        <is>
          <t>VÄSTRA GÖTALANDS LÄN</t>
        </is>
      </c>
      <c r="E14402" t="inlineStr">
        <is>
          <t>VARA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2590-2024</t>
        </is>
      </c>
      <c r="B14403" s="1" t="n">
        <v>45313</v>
      </c>
      <c r="C14403" s="1" t="n">
        <v>46011</v>
      </c>
      <c r="D14403" t="inlineStr">
        <is>
          <t>VÄSTRA GÖTALANDS LÄN</t>
        </is>
      </c>
      <c r="E14403" t="inlineStr">
        <is>
          <t>SKARA</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4632-2024</t>
        </is>
      </c>
      <c r="B14404" s="1" t="n">
        <v>45328.40832175926</v>
      </c>
      <c r="C14404" s="1" t="n">
        <v>46011</v>
      </c>
      <c r="D14404" t="inlineStr">
        <is>
          <t>VÄSTRA GÖTALANDS LÄN</t>
        </is>
      </c>
      <c r="E14404" t="inlineStr">
        <is>
          <t>TROLLHÄTTAN</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40617-2024</t>
        </is>
      </c>
      <c r="B14405" s="1" t="n">
        <v>45557</v>
      </c>
      <c r="C14405" s="1" t="n">
        <v>46011</v>
      </c>
      <c r="D14405" t="inlineStr">
        <is>
          <t>VÄSTRA GÖTALANDS LÄN</t>
        </is>
      </c>
      <c r="E14405" t="inlineStr">
        <is>
          <t>HERRLJUNGA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42753-2024</t>
        </is>
      </c>
      <c r="B14406" s="1" t="n">
        <v>45566.49253472222</v>
      </c>
      <c r="C14406" s="1" t="n">
        <v>46011</v>
      </c>
      <c r="D14406" t="inlineStr">
        <is>
          <t>VÄSTRA GÖTALANDS LÄN</t>
        </is>
      </c>
      <c r="E14406" t="inlineStr">
        <is>
          <t>SKARA</t>
        </is>
      </c>
      <c r="F14406" t="inlineStr">
        <is>
          <t>Sveaskog</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37625-2024</t>
        </is>
      </c>
      <c r="B14407" s="1" t="n">
        <v>45541.51965277778</v>
      </c>
      <c r="C14407" s="1" t="n">
        <v>46011</v>
      </c>
      <c r="D14407" t="inlineStr">
        <is>
          <t>VÄSTRA GÖTALANDS LÄN</t>
        </is>
      </c>
      <c r="E14407" t="inlineStr">
        <is>
          <t>ESSUNGA</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35202-2024</t>
        </is>
      </c>
      <c r="B14408" s="1" t="n">
        <v>45530.47739583333</v>
      </c>
      <c r="C14408" s="1" t="n">
        <v>46011</v>
      </c>
      <c r="D14408" t="inlineStr">
        <is>
          <t>VÄSTRA GÖTALANDS LÄN</t>
        </is>
      </c>
      <c r="E14408" t="inlineStr">
        <is>
          <t>GÖTENE</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51386-2024</t>
        </is>
      </c>
      <c r="B14409" s="1" t="n">
        <v>45604.39815972222</v>
      </c>
      <c r="C14409" s="1" t="n">
        <v>46011</v>
      </c>
      <c r="D14409" t="inlineStr">
        <is>
          <t>VÄSTRA GÖTALANDS LÄN</t>
        </is>
      </c>
      <c r="E14409" t="inlineStr">
        <is>
          <t>TÖREBODA</t>
        </is>
      </c>
      <c r="F14409" t="inlineStr">
        <is>
          <t>Sveaskog</t>
        </is>
      </c>
      <c r="G14409" t="n">
        <v>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22942-2023</t>
        </is>
      </c>
      <c r="B14410" s="1" t="n">
        <v>45072</v>
      </c>
      <c r="C14410" s="1" t="n">
        <v>46011</v>
      </c>
      <c r="D14410" t="inlineStr">
        <is>
          <t>VÄSTRA GÖTALANDS LÄN</t>
        </is>
      </c>
      <c r="E14410" t="inlineStr">
        <is>
          <t>ULRICEHAMN</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51392-2024</t>
        </is>
      </c>
      <c r="B14411" s="1" t="n">
        <v>45604.41407407408</v>
      </c>
      <c r="C14411" s="1" t="n">
        <v>46011</v>
      </c>
      <c r="D14411" t="inlineStr">
        <is>
          <t>VÄSTRA GÖTALANDS LÄN</t>
        </is>
      </c>
      <c r="E14411" t="inlineStr">
        <is>
          <t>ULRICEHAMN</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49152-2024</t>
        </is>
      </c>
      <c r="B14412" s="1" t="n">
        <v>45594.78761574074</v>
      </c>
      <c r="C14412" s="1" t="n">
        <v>46011</v>
      </c>
      <c r="D14412" t="inlineStr">
        <is>
          <t>VÄSTRA GÖTALANDS LÄN</t>
        </is>
      </c>
      <c r="E14412" t="inlineStr">
        <is>
          <t>ULRICEHAMN</t>
        </is>
      </c>
      <c r="F14412" t="inlineStr">
        <is>
          <t>Sveaskog</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32775-2024</t>
        </is>
      </c>
      <c r="B14413" s="1" t="n">
        <v>45515</v>
      </c>
      <c r="C14413" s="1" t="n">
        <v>46011</v>
      </c>
      <c r="D14413" t="inlineStr">
        <is>
          <t>VÄSTRA GÖTALANDS LÄN</t>
        </is>
      </c>
      <c r="E14413" t="inlineStr">
        <is>
          <t>TANUM</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20283-2025</t>
        </is>
      </c>
      <c r="B14414" s="1" t="n">
        <v>45774.49328703704</v>
      </c>
      <c r="C14414" s="1" t="n">
        <v>46011</v>
      </c>
      <c r="D14414" t="inlineStr">
        <is>
          <t>VÄSTRA GÖTALANDS LÄN</t>
        </is>
      </c>
      <c r="E14414" t="inlineStr">
        <is>
          <t>MUNKEDAL</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59139-2024</t>
        </is>
      </c>
      <c r="B14415" s="1" t="n">
        <v>45637.43695601852</v>
      </c>
      <c r="C14415" s="1" t="n">
        <v>46011</v>
      </c>
      <c r="D14415" t="inlineStr">
        <is>
          <t>VÄSTRA GÖTALANDS LÄN</t>
        </is>
      </c>
      <c r="E14415" t="inlineStr">
        <is>
          <t>TIDAHOLM</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15724-2025</t>
        </is>
      </c>
      <c r="B14416" s="1" t="n">
        <v>45748</v>
      </c>
      <c r="C14416" s="1" t="n">
        <v>46011</v>
      </c>
      <c r="D14416" t="inlineStr">
        <is>
          <t>VÄSTRA GÖTALANDS LÄN</t>
        </is>
      </c>
      <c r="E14416" t="inlineStr">
        <is>
          <t>STENUNGSUND</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15726-2025</t>
        </is>
      </c>
      <c r="B14417" s="1" t="n">
        <v>45748</v>
      </c>
      <c r="C14417" s="1" t="n">
        <v>46011</v>
      </c>
      <c r="D14417" t="inlineStr">
        <is>
          <t>VÄSTRA GÖTALANDS LÄN</t>
        </is>
      </c>
      <c r="E14417" t="inlineStr">
        <is>
          <t>STENUNGSUND</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17955-2025</t>
        </is>
      </c>
      <c r="B14418" s="1" t="n">
        <v>45760.88792824074</v>
      </c>
      <c r="C14418" s="1" t="n">
        <v>46011</v>
      </c>
      <c r="D14418" t="inlineStr">
        <is>
          <t>VÄSTRA GÖTALANDS LÄN</t>
        </is>
      </c>
      <c r="E14418" t="inlineStr">
        <is>
          <t>HERRLJUNGA</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59396-2024</t>
        </is>
      </c>
      <c r="B14419" s="1" t="n">
        <v>45638.37623842592</v>
      </c>
      <c r="C14419" s="1" t="n">
        <v>46011</v>
      </c>
      <c r="D14419" t="inlineStr">
        <is>
          <t>VÄSTRA GÖTALANDS LÄN</t>
        </is>
      </c>
      <c r="E14419" t="inlineStr">
        <is>
          <t>STRÖMSTAD</t>
        </is>
      </c>
      <c r="F14419" t="inlineStr">
        <is>
          <t>Kommuner</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809-2025</t>
        </is>
      </c>
      <c r="B14420" s="1" t="n">
        <v>45665.5518287037</v>
      </c>
      <c r="C14420" s="1" t="n">
        <v>46011</v>
      </c>
      <c r="D14420" t="inlineStr">
        <is>
          <t>VÄSTRA GÖTALANDS LÄN</t>
        </is>
      </c>
      <c r="E14420" t="inlineStr">
        <is>
          <t>STENUNGSUND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51083-2024</t>
        </is>
      </c>
      <c r="B14421" s="1" t="n">
        <v>45603.46233796296</v>
      </c>
      <c r="C14421" s="1" t="n">
        <v>46011</v>
      </c>
      <c r="D14421" t="inlineStr">
        <is>
          <t>VÄSTRA GÖTALANDS LÄN</t>
        </is>
      </c>
      <c r="E14421" t="inlineStr">
        <is>
          <t>TANUM</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45486-2024</t>
        </is>
      </c>
      <c r="B14422" s="1" t="n">
        <v>45577.37951388889</v>
      </c>
      <c r="C14422" s="1" t="n">
        <v>46011</v>
      </c>
      <c r="D14422" t="inlineStr">
        <is>
          <t>VÄSTRA GÖTALANDS LÄN</t>
        </is>
      </c>
      <c r="E14422" t="inlineStr">
        <is>
          <t>BORÅS</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7159-2025</t>
        </is>
      </c>
      <c r="B14423" s="1" t="n">
        <v>45702.38752314815</v>
      </c>
      <c r="C14423" s="1" t="n">
        <v>46011</v>
      </c>
      <c r="D14423" t="inlineStr">
        <is>
          <t>VÄSTRA GÖTALANDS LÄN</t>
        </is>
      </c>
      <c r="E14423" t="inlineStr">
        <is>
          <t>MARIESTAD</t>
        </is>
      </c>
      <c r="F14423" t="inlineStr">
        <is>
          <t>Sveaskog</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14018-2025</t>
        </is>
      </c>
      <c r="B14424" s="1" t="n">
        <v>45740.319375</v>
      </c>
      <c r="C14424" s="1" t="n">
        <v>46011</v>
      </c>
      <c r="D14424" t="inlineStr">
        <is>
          <t>VÄSTRA GÖTALANDS LÄN</t>
        </is>
      </c>
      <c r="E14424" t="inlineStr">
        <is>
          <t>FÄRGELANDA</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61925-2023</t>
        </is>
      </c>
      <c r="B14425" s="1" t="n">
        <v>45266.51587962963</v>
      </c>
      <c r="C14425" s="1" t="n">
        <v>46011</v>
      </c>
      <c r="D14425" t="inlineStr">
        <is>
          <t>VÄSTRA GÖTALANDS LÄN</t>
        </is>
      </c>
      <c r="E14425" t="inlineStr">
        <is>
          <t>HJO</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59186-2023</t>
        </is>
      </c>
      <c r="B14426" s="1" t="n">
        <v>45251</v>
      </c>
      <c r="C14426" s="1" t="n">
        <v>46011</v>
      </c>
      <c r="D14426" t="inlineStr">
        <is>
          <t>VÄSTRA GÖTALANDS LÄN</t>
        </is>
      </c>
      <c r="E14426" t="inlineStr">
        <is>
          <t>BENGTSFORS</t>
        </is>
      </c>
      <c r="F14426" t="inlineStr">
        <is>
          <t>Kyrkan</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2539-2024</t>
        </is>
      </c>
      <c r="B14427" s="1" t="n">
        <v>45313</v>
      </c>
      <c r="C14427" s="1" t="n">
        <v>46011</v>
      </c>
      <c r="D14427" t="inlineStr">
        <is>
          <t>VÄSTRA GÖTALANDS LÄN</t>
        </is>
      </c>
      <c r="E14427" t="inlineStr">
        <is>
          <t>MUNKEDAL</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2563-2024</t>
        </is>
      </c>
      <c r="B14428" s="1" t="n">
        <v>45313</v>
      </c>
      <c r="C14428" s="1" t="n">
        <v>46011</v>
      </c>
      <c r="D14428" t="inlineStr">
        <is>
          <t>VÄSTRA GÖTALANDS LÄN</t>
        </is>
      </c>
      <c r="E14428" t="inlineStr">
        <is>
          <t>BENGTSFORS</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62650-2023</t>
        </is>
      </c>
      <c r="B14429" s="1" t="n">
        <v>45271</v>
      </c>
      <c r="C14429" s="1" t="n">
        <v>46011</v>
      </c>
      <c r="D14429" t="inlineStr">
        <is>
          <t>VÄSTRA GÖTALANDS LÄN</t>
        </is>
      </c>
      <c r="E14429" t="inlineStr">
        <is>
          <t>ULRICEHAMN</t>
        </is>
      </c>
      <c r="F14429" t="inlineStr">
        <is>
          <t>Kyrkan</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62656-2023</t>
        </is>
      </c>
      <c r="B14430" s="1" t="n">
        <v>45271.44229166667</v>
      </c>
      <c r="C14430" s="1" t="n">
        <v>46011</v>
      </c>
      <c r="D14430" t="inlineStr">
        <is>
          <t>VÄSTRA GÖTALANDS LÄN</t>
        </is>
      </c>
      <c r="E14430" t="inlineStr">
        <is>
          <t>MARIESTAD</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8969-2023</t>
        </is>
      </c>
      <c r="B14431" s="1" t="n">
        <v>44979.50427083333</v>
      </c>
      <c r="C14431" s="1" t="n">
        <v>46011</v>
      </c>
      <c r="D14431" t="inlineStr">
        <is>
          <t>VÄSTRA GÖTALANDS LÄN</t>
        </is>
      </c>
      <c r="E14431" t="inlineStr">
        <is>
          <t>TIBRO</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61805-2024</t>
        </is>
      </c>
      <c r="B14432" s="1" t="n">
        <v>45646</v>
      </c>
      <c r="C14432" s="1" t="n">
        <v>46011</v>
      </c>
      <c r="D14432" t="inlineStr">
        <is>
          <t>VÄSTRA GÖTALANDS LÄN</t>
        </is>
      </c>
      <c r="E14432" t="inlineStr">
        <is>
          <t>TROLLHÄTTAN</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5152-2025</t>
        </is>
      </c>
      <c r="B14433" s="1" t="n">
        <v>45691.6000462963</v>
      </c>
      <c r="C14433" s="1" t="n">
        <v>46011</v>
      </c>
      <c r="D14433" t="inlineStr">
        <is>
          <t>VÄSTRA GÖTALANDS LÄN</t>
        </is>
      </c>
      <c r="E14433" t="inlineStr">
        <is>
          <t>ORUST</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19341-2023</t>
        </is>
      </c>
      <c r="B14434" s="1" t="n">
        <v>45049.58232638889</v>
      </c>
      <c r="C14434" s="1" t="n">
        <v>46011</v>
      </c>
      <c r="D14434" t="inlineStr">
        <is>
          <t>VÄSTRA GÖTALANDS LÄN</t>
        </is>
      </c>
      <c r="E14434" t="inlineStr">
        <is>
          <t>FALKÖPING</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24985-2023</t>
        </is>
      </c>
      <c r="B14435" s="1" t="n">
        <v>45085</v>
      </c>
      <c r="C14435" s="1" t="n">
        <v>46011</v>
      </c>
      <c r="D14435" t="inlineStr">
        <is>
          <t>VÄSTRA GÖTALANDS LÄN</t>
        </is>
      </c>
      <c r="E14435" t="inlineStr">
        <is>
          <t>GRÄSTORP</t>
        </is>
      </c>
      <c r="G14435" t="n">
        <v>7.4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24991-2023</t>
        </is>
      </c>
      <c r="B14436" s="1" t="n">
        <v>45085</v>
      </c>
      <c r="C14436" s="1" t="n">
        <v>46011</v>
      </c>
      <c r="D14436" t="inlineStr">
        <is>
          <t>VÄSTRA GÖTALANDS LÄN</t>
        </is>
      </c>
      <c r="E14436" t="inlineStr">
        <is>
          <t>STRÖMSTAD</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34253-2024</t>
        </is>
      </c>
      <c r="B14437" s="1" t="n">
        <v>45524.59075231481</v>
      </c>
      <c r="C14437" s="1" t="n">
        <v>46011</v>
      </c>
      <c r="D14437" t="inlineStr">
        <is>
          <t>VÄSTRA GÖTALANDS LÄN</t>
        </is>
      </c>
      <c r="E14437" t="inlineStr">
        <is>
          <t>MARIESTAD</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24349-2023</t>
        </is>
      </c>
      <c r="B14438" s="1" t="n">
        <v>45082.31181712963</v>
      </c>
      <c r="C14438" s="1" t="n">
        <v>46011</v>
      </c>
      <c r="D14438" t="inlineStr">
        <is>
          <t>VÄSTRA GÖTALANDS LÄN</t>
        </is>
      </c>
      <c r="E14438" t="inlineStr">
        <is>
          <t>TÖREBODA</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24358-2023</t>
        </is>
      </c>
      <c r="B14439" s="1" t="n">
        <v>45082.32069444445</v>
      </c>
      <c r="C14439" s="1" t="n">
        <v>46011</v>
      </c>
      <c r="D14439" t="inlineStr">
        <is>
          <t>VÄSTRA GÖTALANDS LÄN</t>
        </is>
      </c>
      <c r="E14439" t="inlineStr">
        <is>
          <t>TÖREBODA</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14354-2025</t>
        </is>
      </c>
      <c r="B14440" s="1" t="n">
        <v>45741.36516203704</v>
      </c>
      <c r="C14440" s="1" t="n">
        <v>46011</v>
      </c>
      <c r="D14440" t="inlineStr">
        <is>
          <t>VÄSTRA GÖTALANDS LÄN</t>
        </is>
      </c>
      <c r="E14440" t="inlineStr">
        <is>
          <t>GULLSPÅNG</t>
        </is>
      </c>
      <c r="F14440" t="inlineStr">
        <is>
          <t>Kyrkan</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963-2024</t>
        </is>
      </c>
      <c r="B14441" s="1" t="n">
        <v>45301</v>
      </c>
      <c r="C14441" s="1" t="n">
        <v>46011</v>
      </c>
      <c r="D14441" t="inlineStr">
        <is>
          <t>VÄSTRA GÖTALANDS LÄN</t>
        </is>
      </c>
      <c r="E14441" t="inlineStr">
        <is>
          <t>MARK</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61377-2023</t>
        </is>
      </c>
      <c r="B14442" s="1" t="n">
        <v>45264</v>
      </c>
      <c r="C14442" s="1" t="n">
        <v>46011</v>
      </c>
      <c r="D14442" t="inlineStr">
        <is>
          <t>VÄSTRA GÖTALANDS LÄN</t>
        </is>
      </c>
      <c r="E14442" t="inlineStr">
        <is>
          <t>MUNKEDAL</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2919-2024</t>
        </is>
      </c>
      <c r="B14443" s="1" t="n">
        <v>45315.58561342592</v>
      </c>
      <c r="C14443" s="1" t="n">
        <v>46011</v>
      </c>
      <c r="D14443" t="inlineStr">
        <is>
          <t>VÄSTRA GÖTALANDS LÄN</t>
        </is>
      </c>
      <c r="E14443" t="inlineStr">
        <is>
          <t>TRANEMO</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4410-2024</t>
        </is>
      </c>
      <c r="B14444" s="1" t="n">
        <v>45327</v>
      </c>
      <c r="C14444" s="1" t="n">
        <v>46011</v>
      </c>
      <c r="D14444" t="inlineStr">
        <is>
          <t>VÄSTRA GÖTALANDS LÄN</t>
        </is>
      </c>
      <c r="E14444" t="inlineStr">
        <is>
          <t>TRANEMO</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12264-2024</t>
        </is>
      </c>
      <c r="B14445" s="1" t="n">
        <v>45378.46585648148</v>
      </c>
      <c r="C14445" s="1" t="n">
        <v>46011</v>
      </c>
      <c r="D14445" t="inlineStr">
        <is>
          <t>VÄSTRA GÖTALANDS LÄN</t>
        </is>
      </c>
      <c r="E14445" t="inlineStr">
        <is>
          <t>TROLLHÄTTAN</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12266-2024</t>
        </is>
      </c>
      <c r="B14446" s="1" t="n">
        <v>45378.46766203704</v>
      </c>
      <c r="C14446" s="1" t="n">
        <v>46011</v>
      </c>
      <c r="D14446" t="inlineStr">
        <is>
          <t>VÄSTRA GÖTALANDS LÄN</t>
        </is>
      </c>
      <c r="E14446" t="inlineStr">
        <is>
          <t>TROLLHÄTTAN</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15247-2024</t>
        </is>
      </c>
      <c r="B14447" s="1" t="n">
        <v>45400.51723379629</v>
      </c>
      <c r="C14447" s="1" t="n">
        <v>46011</v>
      </c>
      <c r="D14447" t="inlineStr">
        <is>
          <t>VÄSTRA GÖTALANDS LÄN</t>
        </is>
      </c>
      <c r="E14447" t="inlineStr">
        <is>
          <t>HERRLJUNGA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2877-2024</t>
        </is>
      </c>
      <c r="B14448" s="1" t="n">
        <v>45315</v>
      </c>
      <c r="C14448" s="1" t="n">
        <v>46011</v>
      </c>
      <c r="D14448" t="inlineStr">
        <is>
          <t>VÄSTRA GÖTALANDS LÄN</t>
        </is>
      </c>
      <c r="E14448" t="inlineStr">
        <is>
          <t>TRANEMO</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32719-2024</t>
        </is>
      </c>
      <c r="B14449" s="1" t="n">
        <v>45514</v>
      </c>
      <c r="C14449" s="1" t="n">
        <v>46011</v>
      </c>
      <c r="D14449" t="inlineStr">
        <is>
          <t>VÄSTRA GÖTALANDS LÄN</t>
        </is>
      </c>
      <c r="E14449" t="inlineStr">
        <is>
          <t>ÅMÅL</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28416-2024</t>
        </is>
      </c>
      <c r="B14450" s="1" t="n">
        <v>45477.62978009259</v>
      </c>
      <c r="C14450" s="1" t="n">
        <v>46011</v>
      </c>
      <c r="D14450" t="inlineStr">
        <is>
          <t>VÄSTRA GÖTALANDS LÄN</t>
        </is>
      </c>
      <c r="E14450" t="inlineStr">
        <is>
          <t>SOTENÄS</t>
        </is>
      </c>
      <c r="G14450" t="n">
        <v>0.2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28702-2024</t>
        </is>
      </c>
      <c r="B14451" s="1" t="n">
        <v>45478.5044212963</v>
      </c>
      <c r="C14451" s="1" t="n">
        <v>46011</v>
      </c>
      <c r="D14451" t="inlineStr">
        <is>
          <t>VÄSTRA GÖTALANDS LÄN</t>
        </is>
      </c>
      <c r="E14451" t="inlineStr">
        <is>
          <t>FÄRGELANDA</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28335-2023</t>
        </is>
      </c>
      <c r="B14452" s="1" t="n">
        <v>45099.74278935185</v>
      </c>
      <c r="C14452" s="1" t="n">
        <v>46011</v>
      </c>
      <c r="D14452" t="inlineStr">
        <is>
          <t>VÄSTRA GÖTALANDS LÄN</t>
        </is>
      </c>
      <c r="E14452" t="inlineStr">
        <is>
          <t>GÖTENE</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15582-2025</t>
        </is>
      </c>
      <c r="B14453" s="1" t="n">
        <v>45747.81394675926</v>
      </c>
      <c r="C14453" s="1" t="n">
        <v>46011</v>
      </c>
      <c r="D14453" t="inlineStr">
        <is>
          <t>VÄSTRA GÖTALANDS LÄN</t>
        </is>
      </c>
      <c r="E14453" t="inlineStr">
        <is>
          <t>ALE</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15644-2025</t>
        </is>
      </c>
      <c r="B14454" s="1" t="n">
        <v>45748</v>
      </c>
      <c r="C14454" s="1" t="n">
        <v>46011</v>
      </c>
      <c r="D14454" t="inlineStr">
        <is>
          <t>VÄSTRA GÖTALANDS LÄN</t>
        </is>
      </c>
      <c r="E14454" t="inlineStr">
        <is>
          <t>BENGTSFORS</t>
        </is>
      </c>
      <c r="F14454" t="inlineStr">
        <is>
          <t>Kommuner</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61736-2023</t>
        </is>
      </c>
      <c r="B14455" s="1" t="n">
        <v>45265</v>
      </c>
      <c r="C14455" s="1" t="n">
        <v>46011</v>
      </c>
      <c r="D14455" t="inlineStr">
        <is>
          <t>VÄSTRA GÖTALANDS LÄN</t>
        </is>
      </c>
      <c r="E14455" t="inlineStr">
        <is>
          <t>DALS-ED</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61740-2023</t>
        </is>
      </c>
      <c r="B14456" s="1" t="n">
        <v>45265.70538194444</v>
      </c>
      <c r="C14456" s="1" t="n">
        <v>46011</v>
      </c>
      <c r="D14456" t="inlineStr">
        <is>
          <t>VÄSTRA GÖTALANDS LÄN</t>
        </is>
      </c>
      <c r="E14456" t="inlineStr">
        <is>
          <t>VARA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44744-2023</t>
        </is>
      </c>
      <c r="B14457" s="1" t="n">
        <v>45190.39100694445</v>
      </c>
      <c r="C14457" s="1" t="n">
        <v>46011</v>
      </c>
      <c r="D14457" t="inlineStr">
        <is>
          <t>VÄSTRA GÖTALANDS LÄN</t>
        </is>
      </c>
      <c r="E14457" t="inlineStr">
        <is>
          <t>VÅRGÅRDA</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51724-2023</t>
        </is>
      </c>
      <c r="B14458" s="1" t="n">
        <v>45222</v>
      </c>
      <c r="C14458" s="1" t="n">
        <v>46011</v>
      </c>
      <c r="D14458" t="inlineStr">
        <is>
          <t>VÄSTRA GÖTALANDS LÄN</t>
        </is>
      </c>
      <c r="E14458" t="inlineStr">
        <is>
          <t>KUNGÄLV</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60588-2023</t>
        </is>
      </c>
      <c r="B14459" s="1" t="n">
        <v>45259</v>
      </c>
      <c r="C14459" s="1" t="n">
        <v>46011</v>
      </c>
      <c r="D14459" t="inlineStr">
        <is>
          <t>VÄSTRA GÖTALANDS LÄN</t>
        </is>
      </c>
      <c r="E14459" t="inlineStr">
        <is>
          <t>SKÖVDE</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47617-2023</t>
        </is>
      </c>
      <c r="B14460" s="1" t="n">
        <v>45198</v>
      </c>
      <c r="C14460" s="1" t="n">
        <v>46011</v>
      </c>
      <c r="D14460" t="inlineStr">
        <is>
          <t>VÄSTRA GÖTALANDS LÄN</t>
        </is>
      </c>
      <c r="E14460" t="inlineStr">
        <is>
          <t>DALS-ED</t>
        </is>
      </c>
      <c r="G14460" t="n">
        <v>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7804-2024</t>
        </is>
      </c>
      <c r="B14461" s="1" t="n">
        <v>45349.63490740741</v>
      </c>
      <c r="C14461" s="1" t="n">
        <v>46011</v>
      </c>
      <c r="D14461" t="inlineStr">
        <is>
          <t>VÄSTRA GÖTALANDS LÄN</t>
        </is>
      </c>
      <c r="E14461" t="inlineStr">
        <is>
          <t>UDDEVALLA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50023-2023</t>
        </is>
      </c>
      <c r="B14462" s="1" t="n">
        <v>45215</v>
      </c>
      <c r="C14462" s="1" t="n">
        <v>46011</v>
      </c>
      <c r="D14462" t="inlineStr">
        <is>
          <t>VÄSTRA GÖTALANDS LÄN</t>
        </is>
      </c>
      <c r="E14462" t="inlineStr">
        <is>
          <t>UDDEVALLA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50034-2023</t>
        </is>
      </c>
      <c r="B14463" s="1" t="n">
        <v>45215</v>
      </c>
      <c r="C14463" s="1" t="n">
        <v>46011</v>
      </c>
      <c r="D14463" t="inlineStr">
        <is>
          <t>VÄSTRA GÖTALANDS LÄN</t>
        </is>
      </c>
      <c r="E14463" t="inlineStr">
        <is>
          <t>MUNKEDAL</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38392-2022</t>
        </is>
      </c>
      <c r="B14464" s="1" t="n">
        <v>44812</v>
      </c>
      <c r="C14464" s="1" t="n">
        <v>46011</v>
      </c>
      <c r="D14464" t="inlineStr">
        <is>
          <t>VÄSTRA GÖTALANDS LÄN</t>
        </is>
      </c>
      <c r="E14464" t="inlineStr">
        <is>
          <t>DALS-ED</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44889-2022</t>
        </is>
      </c>
      <c r="B14465" s="1" t="n">
        <v>44841.49253472222</v>
      </c>
      <c r="C14465" s="1" t="n">
        <v>46011</v>
      </c>
      <c r="D14465" t="inlineStr">
        <is>
          <t>VÄSTRA GÖTALANDS LÄN</t>
        </is>
      </c>
      <c r="E14465" t="inlineStr">
        <is>
          <t>TANUM</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14739-2024</t>
        </is>
      </c>
      <c r="B14466" s="1" t="n">
        <v>45397.59844907407</v>
      </c>
      <c r="C14466" s="1" t="n">
        <v>46011</v>
      </c>
      <c r="D14466" t="inlineStr">
        <is>
          <t>VÄSTRA GÖTALANDS LÄN</t>
        </is>
      </c>
      <c r="E14466" t="inlineStr">
        <is>
          <t>TRANEMO</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13235-2024</t>
        </is>
      </c>
      <c r="B14467" s="1" t="n">
        <v>45386</v>
      </c>
      <c r="C14467" s="1" t="n">
        <v>46011</v>
      </c>
      <c r="D14467" t="inlineStr">
        <is>
          <t>VÄSTRA GÖTALANDS LÄN</t>
        </is>
      </c>
      <c r="E14467" t="inlineStr">
        <is>
          <t>VARA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14325-2024</t>
        </is>
      </c>
      <c r="B14468" s="1" t="n">
        <v>45393.69880787037</v>
      </c>
      <c r="C14468" s="1" t="n">
        <v>46011</v>
      </c>
      <c r="D14468" t="inlineStr">
        <is>
          <t>VÄSTRA GÖTALANDS LÄN</t>
        </is>
      </c>
      <c r="E14468" t="inlineStr">
        <is>
          <t>GULLSPÅNG</t>
        </is>
      </c>
      <c r="F14468" t="inlineStr">
        <is>
          <t>Kommuner</t>
        </is>
      </c>
      <c r="G14468" t="n">
        <v>7.1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52704-2023</t>
        </is>
      </c>
      <c r="B14469" s="1" t="n">
        <v>45225.81679398148</v>
      </c>
      <c r="C14469" s="1" t="n">
        <v>46011</v>
      </c>
      <c r="D14469" t="inlineStr">
        <is>
          <t>VÄSTRA GÖTALANDS LÄN</t>
        </is>
      </c>
      <c r="E14469" t="inlineStr">
        <is>
          <t>FALKÖPING</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5469-2025</t>
        </is>
      </c>
      <c r="B14470" s="1" t="n">
        <v>45693.32758101852</v>
      </c>
      <c r="C14470" s="1" t="n">
        <v>46011</v>
      </c>
      <c r="D14470" t="inlineStr">
        <is>
          <t>VÄSTRA GÖTALANDS LÄN</t>
        </is>
      </c>
      <c r="E14470" t="inlineStr">
        <is>
          <t>SKÖVDE</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5473-2025</t>
        </is>
      </c>
      <c r="B14471" s="1" t="n">
        <v>45693.33016203704</v>
      </c>
      <c r="C14471" s="1" t="n">
        <v>46011</v>
      </c>
      <c r="D14471" t="inlineStr">
        <is>
          <t>VÄSTRA GÖTALANDS LÄN</t>
        </is>
      </c>
      <c r="E14471" t="inlineStr">
        <is>
          <t>SKÖVDE</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12767-2024</t>
        </is>
      </c>
      <c r="B14472" s="1" t="n">
        <v>45384</v>
      </c>
      <c r="C14472" s="1" t="n">
        <v>46011</v>
      </c>
      <c r="D14472" t="inlineStr">
        <is>
          <t>VÄSTRA GÖTALANDS LÄN</t>
        </is>
      </c>
      <c r="E14472" t="inlineStr">
        <is>
          <t>MARIESTAD</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36464-2023</t>
        </is>
      </c>
      <c r="B14473" s="1" t="n">
        <v>45151</v>
      </c>
      <c r="C14473" s="1" t="n">
        <v>46011</v>
      </c>
      <c r="D14473" t="inlineStr">
        <is>
          <t>VÄSTRA GÖTALANDS LÄN</t>
        </is>
      </c>
      <c r="E14473" t="inlineStr">
        <is>
          <t>DALS-ED</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1553-2025</t>
        </is>
      </c>
      <c r="B14474" s="1" t="n">
        <v>45667</v>
      </c>
      <c r="C14474" s="1" t="n">
        <v>46011</v>
      </c>
      <c r="D14474" t="inlineStr">
        <is>
          <t>VÄSTRA GÖTALANDS LÄN</t>
        </is>
      </c>
      <c r="E14474" t="inlineStr">
        <is>
          <t>MUNKEDAL</t>
        </is>
      </c>
      <c r="F14474" t="inlineStr">
        <is>
          <t>Övriga Aktiebolag</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59998-2024</t>
        </is>
      </c>
      <c r="B14475" s="1" t="n">
        <v>45642.40743055556</v>
      </c>
      <c r="C14475" s="1" t="n">
        <v>46011</v>
      </c>
      <c r="D14475" t="inlineStr">
        <is>
          <t>VÄSTRA GÖTALANDS LÄN</t>
        </is>
      </c>
      <c r="E14475" t="inlineStr">
        <is>
          <t>ÅMÅL</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1356-2025</t>
        </is>
      </c>
      <c r="B14476" s="1" t="n">
        <v>45667.63302083333</v>
      </c>
      <c r="C14476" s="1" t="n">
        <v>46011</v>
      </c>
      <c r="D14476" t="inlineStr">
        <is>
          <t>VÄSTRA GÖTALANDS LÄN</t>
        </is>
      </c>
      <c r="E14476" t="inlineStr">
        <is>
          <t>MELLERUD</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44708-2023</t>
        </is>
      </c>
      <c r="B14477" s="1" t="n">
        <v>45190.32966435186</v>
      </c>
      <c r="C14477" s="1" t="n">
        <v>46011</v>
      </c>
      <c r="D14477" t="inlineStr">
        <is>
          <t>VÄSTRA GÖTALANDS LÄN</t>
        </is>
      </c>
      <c r="E14477" t="inlineStr">
        <is>
          <t>TROLLHÄTTAN</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20251-2022</t>
        </is>
      </c>
      <c r="B14478" s="1" t="n">
        <v>44698</v>
      </c>
      <c r="C14478" s="1" t="n">
        <v>46011</v>
      </c>
      <c r="D14478" t="inlineStr">
        <is>
          <t>VÄSTRA GÖTALANDS LÄN</t>
        </is>
      </c>
      <c r="E14478" t="inlineStr">
        <is>
          <t>MUNKEDAL</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63445-2023</t>
        </is>
      </c>
      <c r="B14479" s="1" t="n">
        <v>45274.60491898148</v>
      </c>
      <c r="C14479" s="1" t="n">
        <v>46011</v>
      </c>
      <c r="D14479" t="inlineStr">
        <is>
          <t>VÄSTRA GÖTALANDS LÄN</t>
        </is>
      </c>
      <c r="E14479" t="inlineStr">
        <is>
          <t>HERRLJUNGA</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57915-2024</t>
        </is>
      </c>
      <c r="B14480" s="1" t="n">
        <v>45631.49766203704</v>
      </c>
      <c r="C14480" s="1" t="n">
        <v>46011</v>
      </c>
      <c r="D14480" t="inlineStr">
        <is>
          <t>VÄSTRA GÖTALANDS LÄN</t>
        </is>
      </c>
      <c r="E14480" t="inlineStr">
        <is>
          <t>KARLSBORG</t>
        </is>
      </c>
      <c r="F14480" t="inlineStr">
        <is>
          <t>Sveaskog</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20736-2025</t>
        </is>
      </c>
      <c r="B14481" s="1" t="n">
        <v>45776.54106481482</v>
      </c>
      <c r="C14481" s="1" t="n">
        <v>46011</v>
      </c>
      <c r="D14481" t="inlineStr">
        <is>
          <t>VÄSTRA GÖTALANDS LÄN</t>
        </is>
      </c>
      <c r="E14481" t="inlineStr">
        <is>
          <t>FÄRGELANDA</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20613-2025</t>
        </is>
      </c>
      <c r="B14482" s="1" t="n">
        <v>45776.07998842592</v>
      </c>
      <c r="C14482" s="1" t="n">
        <v>46011</v>
      </c>
      <c r="D14482" t="inlineStr">
        <is>
          <t>VÄSTRA GÖTALANDS LÄN</t>
        </is>
      </c>
      <c r="E14482" t="inlineStr">
        <is>
          <t>MARK</t>
        </is>
      </c>
      <c r="G14482" t="n">
        <v>5.3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20732-2025</t>
        </is>
      </c>
      <c r="B14483" s="1" t="n">
        <v>45776.53162037037</v>
      </c>
      <c r="C14483" s="1" t="n">
        <v>46011</v>
      </c>
      <c r="D14483" t="inlineStr">
        <is>
          <t>VÄSTRA GÖTALANDS LÄN</t>
        </is>
      </c>
      <c r="E14483" t="inlineStr">
        <is>
          <t>UDDEVALLA</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7607-2025</t>
        </is>
      </c>
      <c r="B14484" s="1" t="n">
        <v>45705</v>
      </c>
      <c r="C14484" s="1" t="n">
        <v>46011</v>
      </c>
      <c r="D14484" t="inlineStr">
        <is>
          <t>VÄSTRA GÖTALANDS LÄN</t>
        </is>
      </c>
      <c r="E14484" t="inlineStr">
        <is>
          <t>SVENLJUNGA</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20614-2025</t>
        </is>
      </c>
      <c r="B14485" s="1" t="n">
        <v>45776.25559027777</v>
      </c>
      <c r="C14485" s="1" t="n">
        <v>46011</v>
      </c>
      <c r="D14485" t="inlineStr">
        <is>
          <t>VÄSTRA GÖTALANDS LÄN</t>
        </is>
      </c>
      <c r="E14485" t="inlineStr">
        <is>
          <t>LIDKÖPING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20635-2025</t>
        </is>
      </c>
      <c r="B14486" s="1" t="n">
        <v>45776.3533912037</v>
      </c>
      <c r="C14486" s="1" t="n">
        <v>46011</v>
      </c>
      <c r="D14486" t="inlineStr">
        <is>
          <t>VÄSTRA GÖTALANDS LÄN</t>
        </is>
      </c>
      <c r="E14486" t="inlineStr">
        <is>
          <t>BORÅS</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20664-2025</t>
        </is>
      </c>
      <c r="B14487" s="1" t="n">
        <v>45776.41950231481</v>
      </c>
      <c r="C14487" s="1" t="n">
        <v>46011</v>
      </c>
      <c r="D14487" t="inlineStr">
        <is>
          <t>VÄSTRA GÖTALANDS LÄN</t>
        </is>
      </c>
      <c r="E14487" t="inlineStr">
        <is>
          <t>MARK</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20602-2025</t>
        </is>
      </c>
      <c r="B14488" s="1" t="n">
        <v>45775.79440972222</v>
      </c>
      <c r="C14488" s="1" t="n">
        <v>46011</v>
      </c>
      <c r="D14488" t="inlineStr">
        <is>
          <t>VÄSTRA GÖTALANDS LÄN</t>
        </is>
      </c>
      <c r="E14488" t="inlineStr">
        <is>
          <t>SKÖVDE</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10408-2025</t>
        </is>
      </c>
      <c r="B14489" s="1" t="n">
        <v>45720</v>
      </c>
      <c r="C14489" s="1" t="n">
        <v>46011</v>
      </c>
      <c r="D14489" t="inlineStr">
        <is>
          <t>VÄSTRA GÖTALANDS LÄN</t>
        </is>
      </c>
      <c r="E14489" t="inlineStr">
        <is>
          <t>MARIESTAD</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21063-2025</t>
        </is>
      </c>
      <c r="B14490" s="1" t="n">
        <v>45777.58376157407</v>
      </c>
      <c r="C14490" s="1" t="n">
        <v>46011</v>
      </c>
      <c r="D14490" t="inlineStr">
        <is>
          <t>VÄSTRA GÖTALANDS LÄN</t>
        </is>
      </c>
      <c r="E14490" t="inlineStr">
        <is>
          <t>MUNKEDAL</t>
        </is>
      </c>
      <c r="G14490" t="n">
        <v>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21079-2025</t>
        </is>
      </c>
      <c r="B14491" s="1" t="n">
        <v>45777.60255787037</v>
      </c>
      <c r="C14491" s="1" t="n">
        <v>46011</v>
      </c>
      <c r="D14491" t="inlineStr">
        <is>
          <t>VÄSTRA GÖTALANDS LÄN</t>
        </is>
      </c>
      <c r="E14491" t="inlineStr">
        <is>
          <t>MUNKEDAL</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21024-2025</t>
        </is>
      </c>
      <c r="B14492" s="1" t="n">
        <v>45777.51334490741</v>
      </c>
      <c r="C14492" s="1" t="n">
        <v>46011</v>
      </c>
      <c r="D14492" t="inlineStr">
        <is>
          <t>VÄSTRA GÖTALANDS LÄN</t>
        </is>
      </c>
      <c r="E14492" t="inlineStr">
        <is>
          <t>ÅMÅL</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20861-2025</t>
        </is>
      </c>
      <c r="B14493" s="1" t="n">
        <v>45777.33300925926</v>
      </c>
      <c r="C14493" s="1" t="n">
        <v>46011</v>
      </c>
      <c r="D14493" t="inlineStr">
        <is>
          <t>VÄSTRA GÖTALANDS LÄN</t>
        </is>
      </c>
      <c r="E14493" t="inlineStr">
        <is>
          <t>FÄRGELANDA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48077-2024</t>
        </is>
      </c>
      <c r="B14494" s="1" t="n">
        <v>45589.57429398148</v>
      </c>
      <c r="C14494" s="1" t="n">
        <v>46011</v>
      </c>
      <c r="D14494" t="inlineStr">
        <is>
          <t>VÄSTRA GÖTALANDS LÄN</t>
        </is>
      </c>
      <c r="E14494" t="inlineStr">
        <is>
          <t>TANUM</t>
        </is>
      </c>
      <c r="G14494" t="n">
        <v>5.7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53255-2024</t>
        </is>
      </c>
      <c r="B14495" s="1" t="n">
        <v>45614.32868055555</v>
      </c>
      <c r="C14495" s="1" t="n">
        <v>46011</v>
      </c>
      <c r="D14495" t="inlineStr">
        <is>
          <t>VÄSTRA GÖTALANDS LÄN</t>
        </is>
      </c>
      <c r="E14495" t="inlineStr">
        <is>
          <t>MUNKEDAL</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46532-2024</t>
        </is>
      </c>
      <c r="B14496" s="1" t="n">
        <v>45582.63861111111</v>
      </c>
      <c r="C14496" s="1" t="n">
        <v>46011</v>
      </c>
      <c r="D14496" t="inlineStr">
        <is>
          <t>VÄSTRA GÖTALANDS LÄN</t>
        </is>
      </c>
      <c r="E14496" t="inlineStr">
        <is>
          <t>STRÖMSTAD</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21001-2025</t>
        </is>
      </c>
      <c r="B14497" s="1" t="n">
        <v>45777.48964120371</v>
      </c>
      <c r="C14497" s="1" t="n">
        <v>46011</v>
      </c>
      <c r="D14497" t="inlineStr">
        <is>
          <t>VÄSTRA GÖTALANDS LÄN</t>
        </is>
      </c>
      <c r="E14497" t="inlineStr">
        <is>
          <t>FALKÖPING</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20850-2025</t>
        </is>
      </c>
      <c r="B14498" s="1" t="n">
        <v>45777.32079861111</v>
      </c>
      <c r="C14498" s="1" t="n">
        <v>46011</v>
      </c>
      <c r="D14498" t="inlineStr">
        <is>
          <t>VÄSTRA GÖTALANDS LÄN</t>
        </is>
      </c>
      <c r="E14498" t="inlineStr">
        <is>
          <t>MELLERUD</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2634-2025</t>
        </is>
      </c>
      <c r="B14499" s="1" t="n">
        <v>45675.87553240741</v>
      </c>
      <c r="C14499" s="1" t="n">
        <v>46011</v>
      </c>
      <c r="D14499" t="inlineStr">
        <is>
          <t>VÄSTRA GÖTALANDS LÄN</t>
        </is>
      </c>
      <c r="E14499" t="inlineStr">
        <is>
          <t>DALS-ED</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20911-2025</t>
        </is>
      </c>
      <c r="B14500" s="1" t="n">
        <v>45777.40738425926</v>
      </c>
      <c r="C14500" s="1" t="n">
        <v>46011</v>
      </c>
      <c r="D14500" t="inlineStr">
        <is>
          <t>VÄSTRA GÖTALANDS LÄN</t>
        </is>
      </c>
      <c r="E14500" t="inlineStr">
        <is>
          <t>VARA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20915-2025</t>
        </is>
      </c>
      <c r="B14501" s="1" t="n">
        <v>45777.40862268519</v>
      </c>
      <c r="C14501" s="1" t="n">
        <v>46011</v>
      </c>
      <c r="D14501" t="inlineStr">
        <is>
          <t>VÄSTRA GÖTALANDS LÄN</t>
        </is>
      </c>
      <c r="E14501" t="inlineStr">
        <is>
          <t>VARA</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14416-2025</t>
        </is>
      </c>
      <c r="B14502" s="1" t="n">
        <v>45741.47922453703</v>
      </c>
      <c r="C14502" s="1" t="n">
        <v>46011</v>
      </c>
      <c r="D14502" t="inlineStr">
        <is>
          <t>VÄSTRA GÖTALANDS LÄN</t>
        </is>
      </c>
      <c r="E14502" t="inlineStr">
        <is>
          <t>FALKÖPING</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49551-2024</t>
        </is>
      </c>
      <c r="B14503" s="1" t="n">
        <v>45596.4597337963</v>
      </c>
      <c r="C14503" s="1" t="n">
        <v>46011</v>
      </c>
      <c r="D14503" t="inlineStr">
        <is>
          <t>VÄSTRA GÖTALANDS LÄN</t>
        </is>
      </c>
      <c r="E14503" t="inlineStr">
        <is>
          <t>STRÖMSTAD</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16348-2025</t>
        </is>
      </c>
      <c r="B14504" s="1" t="n">
        <v>45750</v>
      </c>
      <c r="C14504" s="1" t="n">
        <v>46011</v>
      </c>
      <c r="D14504" t="inlineStr">
        <is>
          <t>VÄSTRA GÖTALANDS LÄN</t>
        </is>
      </c>
      <c r="E14504" t="inlineStr">
        <is>
          <t>BENGTSFORS</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21028-2025</t>
        </is>
      </c>
      <c r="B14505" s="1" t="n">
        <v>45777.52100694444</v>
      </c>
      <c r="C14505" s="1" t="n">
        <v>46011</v>
      </c>
      <c r="D14505" t="inlineStr">
        <is>
          <t>VÄSTRA GÖTALANDS LÄN</t>
        </is>
      </c>
      <c r="E14505" t="inlineStr">
        <is>
          <t>ÅMÅL</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21032-2025</t>
        </is>
      </c>
      <c r="B14506" s="1" t="n">
        <v>45777.52616898148</v>
      </c>
      <c r="C14506" s="1" t="n">
        <v>46011</v>
      </c>
      <c r="D14506" t="inlineStr">
        <is>
          <t>VÄSTRA GÖTALANDS LÄN</t>
        </is>
      </c>
      <c r="E14506" t="inlineStr">
        <is>
          <t>ÅMÅL</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21054-2025</t>
        </is>
      </c>
      <c r="B14507" s="1" t="n">
        <v>45777.56768518518</v>
      </c>
      <c r="C14507" s="1" t="n">
        <v>46011</v>
      </c>
      <c r="D14507" t="inlineStr">
        <is>
          <t>VÄSTRA GÖTALANDS LÄN</t>
        </is>
      </c>
      <c r="E14507" t="inlineStr">
        <is>
          <t>MARIESTAD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20976-2025</t>
        </is>
      </c>
      <c r="B14508" s="1" t="n">
        <v>45777.45978009259</v>
      </c>
      <c r="C14508" s="1" t="n">
        <v>46011</v>
      </c>
      <c r="D14508" t="inlineStr">
        <is>
          <t>VÄSTRA GÖTALANDS LÄN</t>
        </is>
      </c>
      <c r="E14508" t="inlineStr">
        <is>
          <t>TÖREBODA</t>
        </is>
      </c>
      <c r="F14508" t="inlineStr">
        <is>
          <t>Sveaskog</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59841-2024</t>
        </is>
      </c>
      <c r="B14509" s="1" t="n">
        <v>45639.67075231481</v>
      </c>
      <c r="C14509" s="1" t="n">
        <v>46011</v>
      </c>
      <c r="D14509" t="inlineStr">
        <is>
          <t>VÄSTRA GÖTALANDS LÄN</t>
        </is>
      </c>
      <c r="E14509" t="inlineStr">
        <is>
          <t>SKARA</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39907-2024</t>
        </is>
      </c>
      <c r="B14510" s="1" t="n">
        <v>45553.51288194444</v>
      </c>
      <c r="C14510" s="1" t="n">
        <v>46011</v>
      </c>
      <c r="D14510" t="inlineStr">
        <is>
          <t>VÄSTRA GÖTALANDS LÄN</t>
        </is>
      </c>
      <c r="E14510" t="inlineStr">
        <is>
          <t>HJO</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21003-2025</t>
        </is>
      </c>
      <c r="B14511" s="1" t="n">
        <v>45777.49116898148</v>
      </c>
      <c r="C14511" s="1" t="n">
        <v>46011</v>
      </c>
      <c r="D14511" t="inlineStr">
        <is>
          <t>VÄSTRA GÖTALANDS LÄN</t>
        </is>
      </c>
      <c r="E14511" t="inlineStr">
        <is>
          <t>FALKÖPING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34366-2022</t>
        </is>
      </c>
      <c r="B14512" s="1" t="n">
        <v>44792</v>
      </c>
      <c r="C14512" s="1" t="n">
        <v>46011</v>
      </c>
      <c r="D14512" t="inlineStr">
        <is>
          <t>VÄSTRA GÖTALANDS LÄN</t>
        </is>
      </c>
      <c r="E14512" t="inlineStr">
        <is>
          <t>KUNGÄLV</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55419-2023</t>
        </is>
      </c>
      <c r="B14513" s="1" t="n">
        <v>45231</v>
      </c>
      <c r="C14513" s="1" t="n">
        <v>46011</v>
      </c>
      <c r="D14513" t="inlineStr">
        <is>
          <t>VÄSTRA GÖTALANDS LÄN</t>
        </is>
      </c>
      <c r="E14513" t="inlineStr">
        <is>
          <t>ULRICEHAMN</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55455-2023</t>
        </is>
      </c>
      <c r="B14514" s="1" t="n">
        <v>45231</v>
      </c>
      <c r="C14514" s="1" t="n">
        <v>46011</v>
      </c>
      <c r="D14514" t="inlineStr">
        <is>
          <t>VÄSTRA GÖTALANDS LÄN</t>
        </is>
      </c>
      <c r="E14514" t="inlineStr">
        <is>
          <t>ULRICEHAMN</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12561-2025</t>
        </is>
      </c>
      <c r="B14515" s="1" t="n">
        <v>45731.49915509259</v>
      </c>
      <c r="C14515" s="1" t="n">
        <v>46011</v>
      </c>
      <c r="D14515" t="inlineStr">
        <is>
          <t>VÄSTRA GÖTALANDS LÄN</t>
        </is>
      </c>
      <c r="E14515" t="inlineStr">
        <is>
          <t>DALS-ED</t>
        </is>
      </c>
      <c r="G14515" t="n">
        <v>0.4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15691-2025</t>
        </is>
      </c>
      <c r="B14516" s="1" t="n">
        <v>45748.4649074074</v>
      </c>
      <c r="C14516" s="1" t="n">
        <v>46011</v>
      </c>
      <c r="D14516" t="inlineStr">
        <is>
          <t>VÄSTRA GÖTALANDS LÄN</t>
        </is>
      </c>
      <c r="E14516" t="inlineStr">
        <is>
          <t>TANUM</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21031-2025</t>
        </is>
      </c>
      <c r="B14517" s="1" t="n">
        <v>45777.52524305556</v>
      </c>
      <c r="C14517" s="1" t="n">
        <v>46011</v>
      </c>
      <c r="D14517" t="inlineStr">
        <is>
          <t>VÄSTRA GÖTALANDS LÄN</t>
        </is>
      </c>
      <c r="E14517" t="inlineStr">
        <is>
          <t>FALKÖPING</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21040-2025</t>
        </is>
      </c>
      <c r="B14518" s="1" t="n">
        <v>45777.54398148148</v>
      </c>
      <c r="C14518" s="1" t="n">
        <v>46011</v>
      </c>
      <c r="D14518" t="inlineStr">
        <is>
          <t>VÄSTRA GÖTALANDS LÄN</t>
        </is>
      </c>
      <c r="E14518" t="inlineStr">
        <is>
          <t>TANUM</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21126-2025</t>
        </is>
      </c>
      <c r="B14519" s="1" t="n">
        <v>45777.90707175926</v>
      </c>
      <c r="C14519" s="1" t="n">
        <v>46011</v>
      </c>
      <c r="D14519" t="inlineStr">
        <is>
          <t>VÄSTRA GÖTALANDS LÄN</t>
        </is>
      </c>
      <c r="E14519" t="inlineStr">
        <is>
          <t>FÄRGELANDA</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21134-2025</t>
        </is>
      </c>
      <c r="B14520" s="1" t="n">
        <v>45778.44113425926</v>
      </c>
      <c r="C14520" s="1" t="n">
        <v>46011</v>
      </c>
      <c r="D14520" t="inlineStr">
        <is>
          <t>VÄSTRA GÖTALANDS LÄN</t>
        </is>
      </c>
      <c r="E14520" t="inlineStr">
        <is>
          <t>MUNKEDAL</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21135-2025</t>
        </is>
      </c>
      <c r="B14521" s="1" t="n">
        <v>45778.54821759259</v>
      </c>
      <c r="C14521" s="1" t="n">
        <v>46011</v>
      </c>
      <c r="D14521" t="inlineStr">
        <is>
          <t>VÄSTRA GÖTALANDS LÄN</t>
        </is>
      </c>
      <c r="E14521" t="inlineStr">
        <is>
          <t>MUNKEDAL</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21137-2025</t>
        </is>
      </c>
      <c r="B14522" s="1" t="n">
        <v>45778.63582175926</v>
      </c>
      <c r="C14522" s="1" t="n">
        <v>46011</v>
      </c>
      <c r="D14522" t="inlineStr">
        <is>
          <t>VÄSTRA GÖTALANDS LÄN</t>
        </is>
      </c>
      <c r="E14522" t="inlineStr">
        <is>
          <t>ÅMÅL</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11249-2024</t>
        </is>
      </c>
      <c r="B14523" s="1" t="n">
        <v>45371.63502314815</v>
      </c>
      <c r="C14523" s="1" t="n">
        <v>46011</v>
      </c>
      <c r="D14523" t="inlineStr">
        <is>
          <t>VÄSTRA GÖTALANDS LÄN</t>
        </is>
      </c>
      <c r="E14523" t="inlineStr">
        <is>
          <t>HÄRRYDA</t>
        </is>
      </c>
      <c r="G14523" t="n">
        <v>6.5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10928-2025</t>
        </is>
      </c>
      <c r="B14524" s="1" t="n">
        <v>45722.90581018518</v>
      </c>
      <c r="C14524" s="1" t="n">
        <v>46011</v>
      </c>
      <c r="D14524" t="inlineStr">
        <is>
          <t>VÄSTRA GÖTALANDS LÄN</t>
        </is>
      </c>
      <c r="E14524" t="inlineStr">
        <is>
          <t>GULLSPÅNG</t>
        </is>
      </c>
      <c r="G14524" t="n">
        <v>9.300000000000001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60819-2024</t>
        </is>
      </c>
      <c r="B14525" s="1" t="n">
        <v>45644.62649305556</v>
      </c>
      <c r="C14525" s="1" t="n">
        <v>46011</v>
      </c>
      <c r="D14525" t="inlineStr">
        <is>
          <t>VÄSTRA GÖTALANDS LÄN</t>
        </is>
      </c>
      <c r="E14525" t="inlineStr">
        <is>
          <t>UDDEVALLA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21030-2025</t>
        </is>
      </c>
      <c r="B14526" s="1" t="n">
        <v>45777.52393518519</v>
      </c>
      <c r="C14526" s="1" t="n">
        <v>46011</v>
      </c>
      <c r="D14526" t="inlineStr">
        <is>
          <t>VÄSTRA GÖTALANDS LÄN</t>
        </is>
      </c>
      <c r="E14526" t="inlineStr">
        <is>
          <t>FALKÖPING</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21102-2025</t>
        </is>
      </c>
      <c r="B14527" s="1" t="n">
        <v>45777.65589120371</v>
      </c>
      <c r="C14527" s="1" t="n">
        <v>46011</v>
      </c>
      <c r="D14527" t="inlineStr">
        <is>
          <t>VÄSTRA GÖTALANDS LÄN</t>
        </is>
      </c>
      <c r="E14527" t="inlineStr">
        <is>
          <t>UDDEVALLA</t>
        </is>
      </c>
      <c r="G14527" t="n">
        <v>12.9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21125-2025</t>
        </is>
      </c>
      <c r="B14528" s="1" t="n">
        <v>45777.89259259259</v>
      </c>
      <c r="C14528" s="1" t="n">
        <v>46011</v>
      </c>
      <c r="D14528" t="inlineStr">
        <is>
          <t>VÄSTRA GÖTALANDS LÄN</t>
        </is>
      </c>
      <c r="E14528" t="inlineStr">
        <is>
          <t>FÄRGELANDA</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42676-2024</t>
        </is>
      </c>
      <c r="B14529" s="1" t="n">
        <v>45566.37298611111</v>
      </c>
      <c r="C14529" s="1" t="n">
        <v>46011</v>
      </c>
      <c r="D14529" t="inlineStr">
        <is>
          <t>VÄSTRA GÖTALANDS LÄN</t>
        </is>
      </c>
      <c r="E14529" t="inlineStr">
        <is>
          <t>DALS-ED</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21086-2025</t>
        </is>
      </c>
      <c r="B14530" s="1" t="n">
        <v>45777.61415509259</v>
      </c>
      <c r="C14530" s="1" t="n">
        <v>46011</v>
      </c>
      <c r="D14530" t="inlineStr">
        <is>
          <t>VÄSTRA GÖTALANDS LÄN</t>
        </is>
      </c>
      <c r="E14530" t="inlineStr">
        <is>
          <t>MUNKEDAL</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5631-2024</t>
        </is>
      </c>
      <c r="B14531" s="1" t="n">
        <v>45334.61013888889</v>
      </c>
      <c r="C14531" s="1" t="n">
        <v>46011</v>
      </c>
      <c r="D14531" t="inlineStr">
        <is>
          <t>VÄSTRA GÖTALANDS LÄN</t>
        </is>
      </c>
      <c r="E14531" t="inlineStr">
        <is>
          <t>KUNGÄLV</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20955-2025</t>
        </is>
      </c>
      <c r="B14532" s="1" t="n">
        <v>45777.44401620371</v>
      </c>
      <c r="C14532" s="1" t="n">
        <v>46011</v>
      </c>
      <c r="D14532" t="inlineStr">
        <is>
          <t>VÄSTRA GÖTALANDS LÄN</t>
        </is>
      </c>
      <c r="E14532" t="inlineStr">
        <is>
          <t>TROLLHÄTTAN</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20948-2025</t>
        </is>
      </c>
      <c r="B14533" s="1" t="n">
        <v>45777.435</v>
      </c>
      <c r="C14533" s="1" t="n">
        <v>46011</v>
      </c>
      <c r="D14533" t="inlineStr">
        <is>
          <t>VÄSTRA GÖTALANDS LÄN</t>
        </is>
      </c>
      <c r="E14533" t="inlineStr">
        <is>
          <t>DALS-ED</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21159-2025</t>
        </is>
      </c>
      <c r="B14534" s="1" t="n">
        <v>45779.3799074074</v>
      </c>
      <c r="C14534" s="1" t="n">
        <v>46011</v>
      </c>
      <c r="D14534" t="inlineStr">
        <is>
          <t>VÄSTRA GÖTALANDS LÄN</t>
        </is>
      </c>
      <c r="E14534" t="inlineStr">
        <is>
          <t>GULLSPÅNG</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21339-2025</t>
        </is>
      </c>
      <c r="B14535" s="1" t="n">
        <v>45782.38717592593</v>
      </c>
      <c r="C14535" s="1" t="n">
        <v>46011</v>
      </c>
      <c r="D14535" t="inlineStr">
        <is>
          <t>VÄSTRA GÖTALANDS LÄN</t>
        </is>
      </c>
      <c r="E14535" t="inlineStr">
        <is>
          <t>TRANEMO</t>
        </is>
      </c>
      <c r="G14535" t="n">
        <v>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21367-2025</t>
        </is>
      </c>
      <c r="B14536" s="1" t="n">
        <v>45782.44706018519</v>
      </c>
      <c r="C14536" s="1" t="n">
        <v>46011</v>
      </c>
      <c r="D14536" t="inlineStr">
        <is>
          <t>VÄSTRA GÖTALANDS LÄN</t>
        </is>
      </c>
      <c r="E14536" t="inlineStr">
        <is>
          <t>BENGTSFORS</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21419-2025</t>
        </is>
      </c>
      <c r="B14537" s="1" t="n">
        <v>45782.50159722222</v>
      </c>
      <c r="C14537" s="1" t="n">
        <v>46011</v>
      </c>
      <c r="D14537" t="inlineStr">
        <is>
          <t>VÄSTRA GÖTALANDS LÄN</t>
        </is>
      </c>
      <c r="E14537" t="inlineStr">
        <is>
          <t>ULRICEHAMN</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21477-2025</t>
        </is>
      </c>
      <c r="B14538" s="1" t="n">
        <v>45782.59390046296</v>
      </c>
      <c r="C14538" s="1" t="n">
        <v>46011</v>
      </c>
      <c r="D14538" t="inlineStr">
        <is>
          <t>VÄSTRA GÖTALANDS LÄN</t>
        </is>
      </c>
      <c r="E14538" t="inlineStr">
        <is>
          <t>MÖLNDAL</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21302-2025</t>
        </is>
      </c>
      <c r="B14539" s="1" t="n">
        <v>45780.88960648148</v>
      </c>
      <c r="C14539" s="1" t="n">
        <v>46011</v>
      </c>
      <c r="D14539" t="inlineStr">
        <is>
          <t>VÄSTRA GÖTALANDS LÄN</t>
        </is>
      </c>
      <c r="E14539" t="inlineStr">
        <is>
          <t>HÄRRYDA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6428-2025</t>
        </is>
      </c>
      <c r="B14540" s="1" t="n">
        <v>45699</v>
      </c>
      <c r="C14540" s="1" t="n">
        <v>46011</v>
      </c>
      <c r="D14540" t="inlineStr">
        <is>
          <t>VÄSTRA GÖTALANDS LÄN</t>
        </is>
      </c>
      <c r="E14540" t="inlineStr">
        <is>
          <t>MARK</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21388-2025</t>
        </is>
      </c>
      <c r="B14541" s="1" t="n">
        <v>45782.47429398148</v>
      </c>
      <c r="C14541" s="1" t="n">
        <v>46011</v>
      </c>
      <c r="D14541" t="inlineStr">
        <is>
          <t>VÄSTRA GÖTALANDS LÄN</t>
        </is>
      </c>
      <c r="E14541" t="inlineStr">
        <is>
          <t>BORÅS</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21293-2025</t>
        </is>
      </c>
      <c r="B14542" s="1" t="n">
        <v>45780.44622685185</v>
      </c>
      <c r="C14542" s="1" t="n">
        <v>46011</v>
      </c>
      <c r="D14542" t="inlineStr">
        <is>
          <t>VÄSTRA GÖTALANDS LÄN</t>
        </is>
      </c>
      <c r="E14542" t="inlineStr">
        <is>
          <t>MARK</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21294-2025</t>
        </is>
      </c>
      <c r="B14543" s="1" t="n">
        <v>45780.4630787037</v>
      </c>
      <c r="C14543" s="1" t="n">
        <v>46011</v>
      </c>
      <c r="D14543" t="inlineStr">
        <is>
          <t>VÄSTRA GÖTALANDS LÄN</t>
        </is>
      </c>
      <c r="E14543" t="inlineStr">
        <is>
          <t>MARK</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21567-2025</t>
        </is>
      </c>
      <c r="B14544" s="1" t="n">
        <v>45782.73740740741</v>
      </c>
      <c r="C14544" s="1" t="n">
        <v>46011</v>
      </c>
      <c r="D14544" t="inlineStr">
        <is>
          <t>VÄSTRA GÖTALANDS LÄN</t>
        </is>
      </c>
      <c r="E14544" t="inlineStr">
        <is>
          <t>UDDEVALLA</t>
        </is>
      </c>
      <c r="G14544" t="n">
        <v>10.3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21362-2025</t>
        </is>
      </c>
      <c r="B14545" s="1" t="n">
        <v>45782.43984953704</v>
      </c>
      <c r="C14545" s="1" t="n">
        <v>46011</v>
      </c>
      <c r="D14545" t="inlineStr">
        <is>
          <t>VÄSTRA GÖTALANDS LÄN</t>
        </is>
      </c>
      <c r="E14545" t="inlineStr">
        <is>
          <t>BENGTSFORS</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21342-2025</t>
        </is>
      </c>
      <c r="B14546" s="1" t="n">
        <v>45782.39655092593</v>
      </c>
      <c r="C14546" s="1" t="n">
        <v>46011</v>
      </c>
      <c r="D14546" t="inlineStr">
        <is>
          <t>VÄSTRA GÖTALANDS LÄN</t>
        </is>
      </c>
      <c r="E14546" t="inlineStr">
        <is>
          <t>ULRICEHAMN</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12466-2025</t>
        </is>
      </c>
      <c r="B14547" s="1" t="n">
        <v>45730</v>
      </c>
      <c r="C14547" s="1" t="n">
        <v>46011</v>
      </c>
      <c r="D14547" t="inlineStr">
        <is>
          <t>VÄSTRA GÖTALANDS LÄN</t>
        </is>
      </c>
      <c r="E14547" t="inlineStr">
        <is>
          <t>TRANEMO</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21469-2025</t>
        </is>
      </c>
      <c r="B14548" s="1" t="n">
        <v>45782.58692129629</v>
      </c>
      <c r="C14548" s="1" t="n">
        <v>46011</v>
      </c>
      <c r="D14548" t="inlineStr">
        <is>
          <t>VÄSTRA GÖTALANDS LÄN</t>
        </is>
      </c>
      <c r="E14548" t="inlineStr">
        <is>
          <t>UDDEVALLA</t>
        </is>
      </c>
      <c r="G14548" t="n">
        <v>7.4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21314-2025</t>
        </is>
      </c>
      <c r="B14549" s="1" t="n">
        <v>45782.31944444445</v>
      </c>
      <c r="C14549" s="1" t="n">
        <v>46011</v>
      </c>
      <c r="D14549" t="inlineStr">
        <is>
          <t>VÄSTRA GÖTALANDS LÄN</t>
        </is>
      </c>
      <c r="E14549" t="inlineStr">
        <is>
          <t>ULRICEHAMN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21173-2025</t>
        </is>
      </c>
      <c r="B14550" s="1" t="n">
        <v>45779.42712962963</v>
      </c>
      <c r="C14550" s="1" t="n">
        <v>46011</v>
      </c>
      <c r="D14550" t="inlineStr">
        <is>
          <t>VÄSTRA GÖTALANDS LÄN</t>
        </is>
      </c>
      <c r="E14550" t="inlineStr">
        <is>
          <t>TIDAHOLM</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21470-2025</t>
        </is>
      </c>
      <c r="B14551" s="1" t="n">
        <v>45782.58934027778</v>
      </c>
      <c r="C14551" s="1" t="n">
        <v>46011</v>
      </c>
      <c r="D14551" t="inlineStr">
        <is>
          <t>VÄSTRA GÖTALANDS LÄN</t>
        </is>
      </c>
      <c r="E14551" t="inlineStr">
        <is>
          <t>UDDEVALLA</t>
        </is>
      </c>
      <c r="G14551" t="n">
        <v>11.8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21359-2025</t>
        </is>
      </c>
      <c r="B14552" s="1" t="n">
        <v>45782.43465277777</v>
      </c>
      <c r="C14552" s="1" t="n">
        <v>46011</v>
      </c>
      <c r="D14552" t="inlineStr">
        <is>
          <t>VÄSTRA GÖTALANDS LÄN</t>
        </is>
      </c>
      <c r="E14552" t="inlineStr">
        <is>
          <t>SVENLJUNGA</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21285-2025</t>
        </is>
      </c>
      <c r="B14553" s="1" t="n">
        <v>45779.69329861111</v>
      </c>
      <c r="C14553" s="1" t="n">
        <v>46011</v>
      </c>
      <c r="D14553" t="inlineStr">
        <is>
          <t>VÄSTRA GÖTALANDS LÄN</t>
        </is>
      </c>
      <c r="E14553" t="inlineStr">
        <is>
          <t>TIDAHOLM</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21304-2025</t>
        </is>
      </c>
      <c r="B14554" s="1" t="n">
        <v>45781.36851851852</v>
      </c>
      <c r="C14554" s="1" t="n">
        <v>46011</v>
      </c>
      <c r="D14554" t="inlineStr">
        <is>
          <t>VÄSTRA GÖTALANDS LÄN</t>
        </is>
      </c>
      <c r="E14554" t="inlineStr">
        <is>
          <t>LILLA EDET</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21535-2025</t>
        </is>
      </c>
      <c r="B14555" s="1" t="n">
        <v>45782.65741898148</v>
      </c>
      <c r="C14555" s="1" t="n">
        <v>46011</v>
      </c>
      <c r="D14555" t="inlineStr">
        <is>
          <t>VÄSTRA GÖTALANDS LÄN</t>
        </is>
      </c>
      <c r="E14555" t="inlineStr">
        <is>
          <t>VÅRGÅRDA</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21185-2025</t>
        </is>
      </c>
      <c r="B14556" s="1" t="n">
        <v>45779.45350694445</v>
      </c>
      <c r="C14556" s="1" t="n">
        <v>46011</v>
      </c>
      <c r="D14556" t="inlineStr">
        <is>
          <t>VÄSTRA GÖTALANDS LÄN</t>
        </is>
      </c>
      <c r="E14556" t="inlineStr">
        <is>
          <t>DALS-ED</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21260-2025</t>
        </is>
      </c>
      <c r="B14557" s="1" t="n">
        <v>45779.60204861111</v>
      </c>
      <c r="C14557" s="1" t="n">
        <v>46011</v>
      </c>
      <c r="D14557" t="inlineStr">
        <is>
          <t>VÄSTRA GÖTALANDS LÄN</t>
        </is>
      </c>
      <c r="E14557" t="inlineStr">
        <is>
          <t>MARK</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3948-2024</t>
        </is>
      </c>
      <c r="B14558" s="1" t="n">
        <v>45322</v>
      </c>
      <c r="C14558" s="1" t="n">
        <v>46011</v>
      </c>
      <c r="D14558" t="inlineStr">
        <is>
          <t>VÄSTRA GÖTALANDS LÄN</t>
        </is>
      </c>
      <c r="E14558" t="inlineStr">
        <is>
          <t>SKÖVDE</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53898-2021</t>
        </is>
      </c>
      <c r="B14559" s="1" t="n">
        <v>44469.70724537037</v>
      </c>
      <c r="C14559" s="1" t="n">
        <v>46011</v>
      </c>
      <c r="D14559" t="inlineStr">
        <is>
          <t>VÄSTRA GÖTALANDS LÄN</t>
        </is>
      </c>
      <c r="E14559" t="inlineStr">
        <is>
          <t>KARLSBORG</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21945-2025</t>
        </is>
      </c>
      <c r="B14560" s="1" t="n">
        <v>45784.59038194444</v>
      </c>
      <c r="C14560" s="1" t="n">
        <v>46011</v>
      </c>
      <c r="D14560" t="inlineStr">
        <is>
          <t>VÄSTRA GÖTALANDS LÄN</t>
        </is>
      </c>
      <c r="E14560" t="inlineStr">
        <is>
          <t>SVENLJUNGA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27752-2024</t>
        </is>
      </c>
      <c r="B14561" s="1" t="n">
        <v>45475.4787037037</v>
      </c>
      <c r="C14561" s="1" t="n">
        <v>46011</v>
      </c>
      <c r="D14561" t="inlineStr">
        <is>
          <t>VÄSTRA GÖTALANDS LÄN</t>
        </is>
      </c>
      <c r="E14561" t="inlineStr">
        <is>
          <t>BORÅS</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21698-2025</t>
        </is>
      </c>
      <c r="B14562" s="1" t="n">
        <v>45783.51045138889</v>
      </c>
      <c r="C14562" s="1" t="n">
        <v>46011</v>
      </c>
      <c r="D14562" t="inlineStr">
        <is>
          <t>VÄSTRA GÖTALANDS LÄN</t>
        </is>
      </c>
      <c r="E14562" t="inlineStr">
        <is>
          <t>MELLERUD</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21706-2025</t>
        </is>
      </c>
      <c r="B14563" s="1" t="n">
        <v>45783.5255787037</v>
      </c>
      <c r="C14563" s="1" t="n">
        <v>46011</v>
      </c>
      <c r="D14563" t="inlineStr">
        <is>
          <t>VÄSTRA GÖTALANDS LÄN</t>
        </is>
      </c>
      <c r="E14563" t="inlineStr">
        <is>
          <t>FALKÖPING</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21735-2025</t>
        </is>
      </c>
      <c r="B14564" s="1" t="n">
        <v>45783.58949074074</v>
      </c>
      <c r="C14564" s="1" t="n">
        <v>46011</v>
      </c>
      <c r="D14564" t="inlineStr">
        <is>
          <t>VÄSTRA GÖTALANDS LÄN</t>
        </is>
      </c>
      <c r="E14564" t="inlineStr">
        <is>
          <t>FALKÖPING</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6715-2024</t>
        </is>
      </c>
      <c r="B14565" s="1" t="n">
        <v>45342.34943287037</v>
      </c>
      <c r="C14565" s="1" t="n">
        <v>46011</v>
      </c>
      <c r="D14565" t="inlineStr">
        <is>
          <t>VÄSTRA GÖTALANDS LÄN</t>
        </is>
      </c>
      <c r="E14565" t="inlineStr">
        <is>
          <t>SVENLJUNGA</t>
        </is>
      </c>
      <c r="G14565" t="n">
        <v>8.800000000000001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5592-2025</t>
        </is>
      </c>
      <c r="B14566" s="1" t="n">
        <v>45693.56583333333</v>
      </c>
      <c r="C14566" s="1" t="n">
        <v>46011</v>
      </c>
      <c r="D14566" t="inlineStr">
        <is>
          <t>VÄSTRA GÖTALANDS LÄN</t>
        </is>
      </c>
      <c r="E14566" t="inlineStr">
        <is>
          <t>MARK</t>
        </is>
      </c>
      <c r="G14566" t="n">
        <v>8.300000000000001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23609-2023</t>
        </is>
      </c>
      <c r="B14567" s="1" t="n">
        <v>45072</v>
      </c>
      <c r="C14567" s="1" t="n">
        <v>46011</v>
      </c>
      <c r="D14567" t="inlineStr">
        <is>
          <t>VÄSTRA GÖTALANDS LÄN</t>
        </is>
      </c>
      <c r="E14567" t="inlineStr">
        <is>
          <t>TANUM</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26792-2024</t>
        </is>
      </c>
      <c r="B14568" s="1" t="n">
        <v>45470</v>
      </c>
      <c r="C14568" s="1" t="n">
        <v>46011</v>
      </c>
      <c r="D14568" t="inlineStr">
        <is>
          <t>VÄSTRA GÖTALANDS LÄN</t>
        </is>
      </c>
      <c r="E14568" t="inlineStr">
        <is>
          <t>HJO</t>
        </is>
      </c>
      <c r="F14568" t="inlineStr">
        <is>
          <t>Kyrkan</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45224-2021</t>
        </is>
      </c>
      <c r="B14569" s="1" t="n">
        <v>44439.5778587963</v>
      </c>
      <c r="C14569" s="1" t="n">
        <v>46011</v>
      </c>
      <c r="D14569" t="inlineStr">
        <is>
          <t>VÄSTRA GÖTALANDS LÄN</t>
        </is>
      </c>
      <c r="E14569" t="inlineStr">
        <is>
          <t>KARLSBORG</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21854-2025</t>
        </is>
      </c>
      <c r="B14570" s="1" t="n">
        <v>45784.34763888889</v>
      </c>
      <c r="C14570" s="1" t="n">
        <v>46011</v>
      </c>
      <c r="D14570" t="inlineStr">
        <is>
          <t>VÄSTRA GÖTALANDS LÄN</t>
        </is>
      </c>
      <c r="E14570" t="inlineStr">
        <is>
          <t>MARK</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21900-2025</t>
        </is>
      </c>
      <c r="B14571" s="1" t="n">
        <v>45784.45744212963</v>
      </c>
      <c r="C14571" s="1" t="n">
        <v>46011</v>
      </c>
      <c r="D14571" t="inlineStr">
        <is>
          <t>VÄSTRA GÖTALANDS LÄN</t>
        </is>
      </c>
      <c r="E14571" t="inlineStr">
        <is>
          <t>TIDAHOLM</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21573-2025</t>
        </is>
      </c>
      <c r="B14572" s="1" t="n">
        <v>45782.82457175926</v>
      </c>
      <c r="C14572" s="1" t="n">
        <v>46011</v>
      </c>
      <c r="D14572" t="inlineStr">
        <is>
          <t>VÄSTRA GÖTALANDS LÄN</t>
        </is>
      </c>
      <c r="E14572" t="inlineStr">
        <is>
          <t>BOLLEBYGD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21739-2025</t>
        </is>
      </c>
      <c r="B14573" s="1" t="n">
        <v>45783.59233796296</v>
      </c>
      <c r="C14573" s="1" t="n">
        <v>46011</v>
      </c>
      <c r="D14573" t="inlineStr">
        <is>
          <t>VÄSTRA GÖTALANDS LÄN</t>
        </is>
      </c>
      <c r="E14573" t="inlineStr">
        <is>
          <t>MARIESTAD</t>
        </is>
      </c>
      <c r="F14573" t="inlineStr">
        <is>
          <t>Sveaskog</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21740-2025</t>
        </is>
      </c>
      <c r="B14574" s="1" t="n">
        <v>45783.59347222222</v>
      </c>
      <c r="C14574" s="1" t="n">
        <v>46011</v>
      </c>
      <c r="D14574" t="inlineStr">
        <is>
          <t>VÄSTRA GÖTALANDS LÄN</t>
        </is>
      </c>
      <c r="E14574" t="inlineStr">
        <is>
          <t>MARIESTAD</t>
        </is>
      </c>
      <c r="F14574" t="inlineStr">
        <is>
          <t>Sveaskog</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26835-2021</t>
        </is>
      </c>
      <c r="B14575" s="1" t="n">
        <v>44349</v>
      </c>
      <c r="C14575" s="1" t="n">
        <v>46011</v>
      </c>
      <c r="D14575" t="inlineStr">
        <is>
          <t>VÄSTRA GÖTALANDS LÄN</t>
        </is>
      </c>
      <c r="E14575" t="inlineStr">
        <is>
          <t>SVENLJUNGA</t>
        </is>
      </c>
      <c r="F14575" t="inlineStr">
        <is>
          <t>Kommuner</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22022-2024</t>
        </is>
      </c>
      <c r="B14576" s="1" t="n">
        <v>45443.5905324074</v>
      </c>
      <c r="C14576" s="1" t="n">
        <v>46011</v>
      </c>
      <c r="D14576" t="inlineStr">
        <is>
          <t>VÄSTRA GÖTALANDS LÄN</t>
        </is>
      </c>
      <c r="E14576" t="inlineStr">
        <is>
          <t>MARK</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47358-2024</t>
        </is>
      </c>
      <c r="B14577" s="1" t="n">
        <v>45587.43356481481</v>
      </c>
      <c r="C14577" s="1" t="n">
        <v>46011</v>
      </c>
      <c r="D14577" t="inlineStr">
        <is>
          <t>VÄSTRA GÖTALANDS LÄN</t>
        </is>
      </c>
      <c r="E14577" t="inlineStr">
        <is>
          <t>BORÅS</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21678-2025</t>
        </is>
      </c>
      <c r="B14578" s="1" t="n">
        <v>45783.48696759259</v>
      </c>
      <c r="C14578" s="1" t="n">
        <v>46011</v>
      </c>
      <c r="D14578" t="inlineStr">
        <is>
          <t>VÄSTRA GÖTALANDS LÄN</t>
        </is>
      </c>
      <c r="E14578" t="inlineStr">
        <is>
          <t>MELLERUD</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22021-2025</t>
        </is>
      </c>
      <c r="B14579" s="1" t="n">
        <v>45784</v>
      </c>
      <c r="C14579" s="1" t="n">
        <v>46011</v>
      </c>
      <c r="D14579" t="inlineStr">
        <is>
          <t>VÄSTRA GÖTALANDS LÄN</t>
        </is>
      </c>
      <c r="E14579" t="inlineStr">
        <is>
          <t>SKÖVDE</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22022-2025</t>
        </is>
      </c>
      <c r="B14580" s="1" t="n">
        <v>45784</v>
      </c>
      <c r="C14580" s="1" t="n">
        <v>46011</v>
      </c>
      <c r="D14580" t="inlineStr">
        <is>
          <t>VÄSTRA GÖTALANDS LÄN</t>
        </is>
      </c>
      <c r="E14580" t="inlineStr">
        <is>
          <t>SKÖVDE</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21872-2025</t>
        </is>
      </c>
      <c r="B14581" s="1" t="n">
        <v>45784.38836805556</v>
      </c>
      <c r="C14581" s="1" t="n">
        <v>46011</v>
      </c>
      <c r="D14581" t="inlineStr">
        <is>
          <t>VÄSTRA GÖTALANDS LÄN</t>
        </is>
      </c>
      <c r="E14581" t="inlineStr">
        <is>
          <t>HÄRRYDA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33921-2024</t>
        </is>
      </c>
      <c r="B14582" s="1" t="n">
        <v>45523.40038194445</v>
      </c>
      <c r="C14582" s="1" t="n">
        <v>46011</v>
      </c>
      <c r="D14582" t="inlineStr">
        <is>
          <t>VÄSTRA GÖTALANDS LÄN</t>
        </is>
      </c>
      <c r="E14582" t="inlineStr">
        <is>
          <t>SVENLJUNGA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21857-2025</t>
        </is>
      </c>
      <c r="B14583" s="1" t="n">
        <v>45784.35984953704</v>
      </c>
      <c r="C14583" s="1" t="n">
        <v>46011</v>
      </c>
      <c r="D14583" t="inlineStr">
        <is>
          <t>VÄSTRA GÖTALANDS LÄN</t>
        </is>
      </c>
      <c r="E14583" t="inlineStr">
        <is>
          <t>SVENLJUNGA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21880-2025</t>
        </is>
      </c>
      <c r="B14584" s="1" t="n">
        <v>45784.40811342592</v>
      </c>
      <c r="C14584" s="1" t="n">
        <v>46011</v>
      </c>
      <c r="D14584" t="inlineStr">
        <is>
          <t>VÄSTRA GÖTALANDS LÄN</t>
        </is>
      </c>
      <c r="E14584" t="inlineStr">
        <is>
          <t>MARK</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16828-2023</t>
        </is>
      </c>
      <c r="B14585" s="1" t="n">
        <v>45033</v>
      </c>
      <c r="C14585" s="1" t="n">
        <v>46011</v>
      </c>
      <c r="D14585" t="inlineStr">
        <is>
          <t>VÄSTRA GÖTALANDS LÄN</t>
        </is>
      </c>
      <c r="E14585" t="inlineStr">
        <is>
          <t>FÄRGELANDA</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52042-2024</t>
        </is>
      </c>
      <c r="B14586" s="1" t="n">
        <v>45608.32445601852</v>
      </c>
      <c r="C14586" s="1" t="n">
        <v>46011</v>
      </c>
      <c r="D14586" t="inlineStr">
        <is>
          <t>VÄSTRA GÖTALANDS LÄN</t>
        </is>
      </c>
      <c r="E14586" t="inlineStr">
        <is>
          <t>TIDAHOLM</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21981-2025</t>
        </is>
      </c>
      <c r="B14587" s="1" t="n">
        <v>45784.65585648148</v>
      </c>
      <c r="C14587" s="1" t="n">
        <v>46011</v>
      </c>
      <c r="D14587" t="inlineStr">
        <is>
          <t>VÄSTRA GÖTALANDS LÄN</t>
        </is>
      </c>
      <c r="E14587" t="inlineStr">
        <is>
          <t>MUNKEDAL</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21575-2025</t>
        </is>
      </c>
      <c r="B14588" s="1" t="n">
        <v>45782.8308912037</v>
      </c>
      <c r="C14588" s="1" t="n">
        <v>46011</v>
      </c>
      <c r="D14588" t="inlineStr">
        <is>
          <t>VÄSTRA GÖTALANDS LÄN</t>
        </is>
      </c>
      <c r="E14588" t="inlineStr">
        <is>
          <t>BOLLEBYGD</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54412-2024</t>
        </is>
      </c>
      <c r="B14589" s="1" t="n">
        <v>45617</v>
      </c>
      <c r="C14589" s="1" t="n">
        <v>46011</v>
      </c>
      <c r="D14589" t="inlineStr">
        <is>
          <t>VÄSTRA GÖTALANDS LÄN</t>
        </is>
      </c>
      <c r="E14589" t="inlineStr">
        <is>
          <t>TIBRO</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4017-2025</t>
        </is>
      </c>
      <c r="B14590" s="1" t="n">
        <v>45684.58362268518</v>
      </c>
      <c r="C14590" s="1" t="n">
        <v>46011</v>
      </c>
      <c r="D14590" t="inlineStr">
        <is>
          <t>VÄSTRA GÖTALANDS LÄN</t>
        </is>
      </c>
      <c r="E14590" t="inlineStr">
        <is>
          <t>MARIESTAD</t>
        </is>
      </c>
      <c r="F14590" t="inlineStr">
        <is>
          <t>Kyrkan</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46655-2021</t>
        </is>
      </c>
      <c r="B14591" s="1" t="n">
        <v>44445</v>
      </c>
      <c r="C14591" s="1" t="n">
        <v>46011</v>
      </c>
      <c r="D14591" t="inlineStr">
        <is>
          <t>VÄSTRA GÖTALANDS LÄN</t>
        </is>
      </c>
      <c r="E14591" t="inlineStr">
        <is>
          <t>MARIESTAD</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32347-2023</t>
        </is>
      </c>
      <c r="B14592" s="1" t="n">
        <v>45120</v>
      </c>
      <c r="C14592" s="1" t="n">
        <v>46011</v>
      </c>
      <c r="D14592" t="inlineStr">
        <is>
          <t>VÄSTRA GÖTALANDS LÄN</t>
        </is>
      </c>
      <c r="E14592" t="inlineStr">
        <is>
          <t>SVENLJUNGA</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40399-2024</t>
        </is>
      </c>
      <c r="B14593" s="1" t="n">
        <v>45555.44511574074</v>
      </c>
      <c r="C14593" s="1" t="n">
        <v>46011</v>
      </c>
      <c r="D14593" t="inlineStr">
        <is>
          <t>VÄSTRA GÖTALANDS LÄN</t>
        </is>
      </c>
      <c r="E14593" t="inlineStr">
        <is>
          <t>VÄNERSBORG</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21579-2025</t>
        </is>
      </c>
      <c r="B14594" s="1" t="n">
        <v>45782.91234953704</v>
      </c>
      <c r="C14594" s="1" t="n">
        <v>46011</v>
      </c>
      <c r="D14594" t="inlineStr">
        <is>
          <t>VÄSTRA GÖTALANDS LÄN</t>
        </is>
      </c>
      <c r="E14594" t="inlineStr">
        <is>
          <t>KUNGÄLV</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21878-2025</t>
        </is>
      </c>
      <c r="B14595" s="1" t="n">
        <v>45784.40392361111</v>
      </c>
      <c r="C14595" s="1" t="n">
        <v>46011</v>
      </c>
      <c r="D14595" t="inlineStr">
        <is>
          <t>VÄSTRA GÖTALANDS LÄN</t>
        </is>
      </c>
      <c r="E14595" t="inlineStr">
        <is>
          <t>BOLLEBYGD</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21903-2025</t>
        </is>
      </c>
      <c r="B14596" s="1" t="n">
        <v>45784</v>
      </c>
      <c r="C14596" s="1" t="n">
        <v>46011</v>
      </c>
      <c r="D14596" t="inlineStr">
        <is>
          <t>VÄSTRA GÖTALANDS LÄN</t>
        </is>
      </c>
      <c r="E14596" t="inlineStr">
        <is>
          <t>BORÅS</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21943-2025</t>
        </is>
      </c>
      <c r="B14597" s="1" t="n">
        <v>45784.58930555556</v>
      </c>
      <c r="C14597" s="1" t="n">
        <v>46011</v>
      </c>
      <c r="D14597" t="inlineStr">
        <is>
          <t>VÄSTRA GÖTALANDS LÄN</t>
        </is>
      </c>
      <c r="E14597" t="inlineStr">
        <is>
          <t>SVENLJUNGA</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23906-2024</t>
        </is>
      </c>
      <c r="B14598" s="1" t="n">
        <v>45455.80586805556</v>
      </c>
      <c r="C14598" s="1" t="n">
        <v>46011</v>
      </c>
      <c r="D14598" t="inlineStr">
        <is>
          <t>VÄSTRA GÖTALANDS LÄN</t>
        </is>
      </c>
      <c r="E14598" t="inlineStr">
        <is>
          <t>BOLLEBYGD</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61487-2022</t>
        </is>
      </c>
      <c r="B14599" s="1" t="n">
        <v>44910</v>
      </c>
      <c r="C14599" s="1" t="n">
        <v>46011</v>
      </c>
      <c r="D14599" t="inlineStr">
        <is>
          <t>VÄSTRA GÖTALANDS LÄN</t>
        </is>
      </c>
      <c r="E14599" t="inlineStr">
        <is>
          <t>DALS-ED</t>
        </is>
      </c>
      <c r="F14599" t="inlineStr">
        <is>
          <t>Kyrkan</t>
        </is>
      </c>
      <c r="G14599" t="n">
        <v>9.4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21640-2025</t>
        </is>
      </c>
      <c r="B14600" s="1" t="n">
        <v>45783.43237268519</v>
      </c>
      <c r="C14600" s="1" t="n">
        <v>46011</v>
      </c>
      <c r="D14600" t="inlineStr">
        <is>
          <t>VÄSTRA GÖTALANDS LÄN</t>
        </is>
      </c>
      <c r="E14600" t="inlineStr">
        <is>
          <t>BENGTSFORS</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21673-2025</t>
        </is>
      </c>
      <c r="B14601" s="1" t="n">
        <v>45783.47327546297</v>
      </c>
      <c r="C14601" s="1" t="n">
        <v>46011</v>
      </c>
      <c r="D14601" t="inlineStr">
        <is>
          <t>VÄSTRA GÖTALANDS LÄN</t>
        </is>
      </c>
      <c r="E14601" t="inlineStr">
        <is>
          <t>BORÅS</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21689-2025</t>
        </is>
      </c>
      <c r="B14602" s="1" t="n">
        <v>45783.49379629629</v>
      </c>
      <c r="C14602" s="1" t="n">
        <v>46011</v>
      </c>
      <c r="D14602" t="inlineStr">
        <is>
          <t>VÄSTRA GÖTALANDS LÄN</t>
        </is>
      </c>
      <c r="E14602" t="inlineStr">
        <is>
          <t>MELLERUD</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40278-2024</t>
        </is>
      </c>
      <c r="B14603" s="1" t="n">
        <v>45554.65760416666</v>
      </c>
      <c r="C14603" s="1" t="n">
        <v>46011</v>
      </c>
      <c r="D14603" t="inlineStr">
        <is>
          <t>VÄSTRA GÖTALANDS LÄN</t>
        </is>
      </c>
      <c r="E14603" t="inlineStr">
        <is>
          <t>ÅMÅL</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3867-2025</t>
        </is>
      </c>
      <c r="B14604" s="1" t="n">
        <v>45684</v>
      </c>
      <c r="C14604" s="1" t="n">
        <v>46011</v>
      </c>
      <c r="D14604" t="inlineStr">
        <is>
          <t>VÄSTRA GÖTALANDS LÄN</t>
        </is>
      </c>
      <c r="E14604" t="inlineStr">
        <is>
          <t>LILLA EDET</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21574-2025</t>
        </is>
      </c>
      <c r="B14605" s="1" t="n">
        <v>45782.82858796296</v>
      </c>
      <c r="C14605" s="1" t="n">
        <v>46011</v>
      </c>
      <c r="D14605" t="inlineStr">
        <is>
          <t>VÄSTRA GÖTALANDS LÄN</t>
        </is>
      </c>
      <c r="E14605" t="inlineStr">
        <is>
          <t>BOLLEBYGD</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21641-2025</t>
        </is>
      </c>
      <c r="B14606" s="1" t="n">
        <v>45783.43375</v>
      </c>
      <c r="C14606" s="1" t="n">
        <v>46011</v>
      </c>
      <c r="D14606" t="inlineStr">
        <is>
          <t>VÄSTRA GÖTALANDS LÄN</t>
        </is>
      </c>
      <c r="E14606" t="inlineStr">
        <is>
          <t>BENGTSFORS</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21644-2025</t>
        </is>
      </c>
      <c r="B14607" s="1" t="n">
        <v>45783.43486111111</v>
      </c>
      <c r="C14607" s="1" t="n">
        <v>46011</v>
      </c>
      <c r="D14607" t="inlineStr">
        <is>
          <t>VÄSTRA GÖTALANDS LÄN</t>
        </is>
      </c>
      <c r="E14607" t="inlineStr">
        <is>
          <t>BENGTSFORS</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27369-2024</t>
        </is>
      </c>
      <c r="B14608" s="1" t="n">
        <v>45473</v>
      </c>
      <c r="C14608" s="1" t="n">
        <v>46011</v>
      </c>
      <c r="D14608" t="inlineStr">
        <is>
          <t>VÄSTRA GÖTALANDS LÄN</t>
        </is>
      </c>
      <c r="E14608" t="inlineStr">
        <is>
          <t>TIDAHOLM</t>
        </is>
      </c>
      <c r="G14608" t="n">
        <v>8.800000000000001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22023-2025</t>
        </is>
      </c>
      <c r="B14609" s="1" t="n">
        <v>45784</v>
      </c>
      <c r="C14609" s="1" t="n">
        <v>46011</v>
      </c>
      <c r="D14609" t="inlineStr">
        <is>
          <t>VÄSTRA GÖTALANDS LÄN</t>
        </is>
      </c>
      <c r="E14609" t="inlineStr">
        <is>
          <t>SKÖVDE</t>
        </is>
      </c>
      <c r="G14609" t="n">
        <v>6.3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32189-2024</t>
        </is>
      </c>
      <c r="B14610" s="1" t="n">
        <v>45511</v>
      </c>
      <c r="C14610" s="1" t="n">
        <v>46011</v>
      </c>
      <c r="D14610" t="inlineStr">
        <is>
          <t>VÄSTRA GÖTALANDS LÄN</t>
        </is>
      </c>
      <c r="E14610" t="inlineStr">
        <is>
          <t>BENGTSFORS</t>
        </is>
      </c>
      <c r="F14610" t="inlineStr">
        <is>
          <t>Kommuner</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21831-2025</t>
        </is>
      </c>
      <c r="B14611" s="1" t="n">
        <v>45784.26943287037</v>
      </c>
      <c r="C14611" s="1" t="n">
        <v>46011</v>
      </c>
      <c r="D14611" t="inlineStr">
        <is>
          <t>VÄSTRA GÖTALANDS LÄN</t>
        </is>
      </c>
      <c r="E14611" t="inlineStr">
        <is>
          <t>ULRICEHAMN</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21984-2025</t>
        </is>
      </c>
      <c r="B14612" s="1" t="n">
        <v>45784.65680555555</v>
      </c>
      <c r="C14612" s="1" t="n">
        <v>46011</v>
      </c>
      <c r="D14612" t="inlineStr">
        <is>
          <t>VÄSTRA GÖTALANDS LÄN</t>
        </is>
      </c>
      <c r="E14612" t="inlineStr">
        <is>
          <t>MUNKEDAL</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46088-2024</t>
        </is>
      </c>
      <c r="B14613" s="1" t="n">
        <v>45581.34831018518</v>
      </c>
      <c r="C14613" s="1" t="n">
        <v>46011</v>
      </c>
      <c r="D14613" t="inlineStr">
        <is>
          <t>VÄSTRA GÖTALANDS LÄN</t>
        </is>
      </c>
      <c r="E14613" t="inlineStr">
        <is>
          <t>TÖREBODA</t>
        </is>
      </c>
      <c r="F14613" t="inlineStr">
        <is>
          <t>Sveaskog</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21571-2025</t>
        </is>
      </c>
      <c r="B14614" s="1" t="n">
        <v>45782.76021990741</v>
      </c>
      <c r="C14614" s="1" t="n">
        <v>46011</v>
      </c>
      <c r="D14614" t="inlineStr">
        <is>
          <t>VÄSTRA GÖTALANDS LÄN</t>
        </is>
      </c>
      <c r="E14614" t="inlineStr">
        <is>
          <t>DALS-ED</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21671-2025</t>
        </is>
      </c>
      <c r="B14615" s="1" t="n">
        <v>45783.47040509259</v>
      </c>
      <c r="C14615" s="1" t="n">
        <v>46011</v>
      </c>
      <c r="D14615" t="inlineStr">
        <is>
          <t>VÄSTRA GÖTALANDS LÄN</t>
        </is>
      </c>
      <c r="E14615" t="inlineStr">
        <is>
          <t>BORÅS</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21737-2025</t>
        </is>
      </c>
      <c r="B14616" s="1" t="n">
        <v>45783.59091435185</v>
      </c>
      <c r="C14616" s="1" t="n">
        <v>46011</v>
      </c>
      <c r="D14616" t="inlineStr">
        <is>
          <t>VÄSTRA GÖTALANDS LÄN</t>
        </is>
      </c>
      <c r="E14616" t="inlineStr">
        <is>
          <t>MARIESTAD</t>
        </is>
      </c>
      <c r="F14616" t="inlineStr">
        <is>
          <t>Sveaskog</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21934-2025</t>
        </is>
      </c>
      <c r="B14617" s="1" t="n">
        <v>45784.56585648148</v>
      </c>
      <c r="C14617" s="1" t="n">
        <v>46011</v>
      </c>
      <c r="D14617" t="inlineStr">
        <is>
          <t>VÄSTRA GÖTALANDS LÄN</t>
        </is>
      </c>
      <c r="E14617" t="inlineStr">
        <is>
          <t>ULRICEHAMN</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21935-2025</t>
        </is>
      </c>
      <c r="B14618" s="1" t="n">
        <v>45784.56877314814</v>
      </c>
      <c r="C14618" s="1" t="n">
        <v>46011</v>
      </c>
      <c r="D14618" t="inlineStr">
        <is>
          <t>VÄSTRA GÖTALANDS LÄN</t>
        </is>
      </c>
      <c r="E14618" t="inlineStr">
        <is>
          <t>BENGTSFORS</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23907-2024</t>
        </is>
      </c>
      <c r="B14619" s="1" t="n">
        <v>45455.80972222222</v>
      </c>
      <c r="C14619" s="1" t="n">
        <v>46011</v>
      </c>
      <c r="D14619" t="inlineStr">
        <is>
          <t>VÄSTRA GÖTALANDS LÄN</t>
        </is>
      </c>
      <c r="E14619" t="inlineStr">
        <is>
          <t>BOLLEBYGD</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27177-2023</t>
        </is>
      </c>
      <c r="B14620" s="1" t="n">
        <v>45096</v>
      </c>
      <c r="C14620" s="1" t="n">
        <v>46011</v>
      </c>
      <c r="D14620" t="inlineStr">
        <is>
          <t>VÄSTRA GÖTALANDS LÄN</t>
        </is>
      </c>
      <c r="E14620" t="inlineStr">
        <is>
          <t>TRANEMO</t>
        </is>
      </c>
      <c r="F14620" t="inlineStr">
        <is>
          <t>Kommuner</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21906-2024</t>
        </is>
      </c>
      <c r="B14621" s="1" t="n">
        <v>45443.35165509259</v>
      </c>
      <c r="C14621" s="1" t="n">
        <v>46011</v>
      </c>
      <c r="D14621" t="inlineStr">
        <is>
          <t>VÄSTRA GÖTALANDS LÄN</t>
        </is>
      </c>
      <c r="E14621" t="inlineStr">
        <is>
          <t>MARK</t>
        </is>
      </c>
      <c r="F14621" t="inlineStr">
        <is>
          <t>Kyrkan</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12664-2023</t>
        </is>
      </c>
      <c r="B14622" s="1" t="n">
        <v>45000</v>
      </c>
      <c r="C14622" s="1" t="n">
        <v>46011</v>
      </c>
      <c r="D14622" t="inlineStr">
        <is>
          <t>VÄSTRA GÖTALANDS LÄN</t>
        </is>
      </c>
      <c r="E14622" t="inlineStr">
        <is>
          <t>GÖTENE</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6650-2025</t>
        </is>
      </c>
      <c r="B14623" s="1" t="n">
        <v>45700.41292824074</v>
      </c>
      <c r="C14623" s="1" t="n">
        <v>46011</v>
      </c>
      <c r="D14623" t="inlineStr">
        <is>
          <t>VÄSTRA GÖTALANDS LÄN</t>
        </is>
      </c>
      <c r="E14623" t="inlineStr">
        <is>
          <t>UDDEVALLA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22033-2025</t>
        </is>
      </c>
      <c r="B14624" s="1" t="n">
        <v>45785.29449074074</v>
      </c>
      <c r="C14624" s="1" t="n">
        <v>46011</v>
      </c>
      <c r="D14624" t="inlineStr">
        <is>
          <t>VÄSTRA GÖTALANDS LÄN</t>
        </is>
      </c>
      <c r="E14624" t="inlineStr">
        <is>
          <t>MÖLNDAL</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52-2024</t>
        </is>
      </c>
      <c r="B14625" s="1" t="n">
        <v>45293</v>
      </c>
      <c r="C14625" s="1" t="n">
        <v>46011</v>
      </c>
      <c r="D14625" t="inlineStr">
        <is>
          <t>VÄSTRA GÖTALANDS LÄN</t>
        </is>
      </c>
      <c r="E14625" t="inlineStr">
        <is>
          <t>LYSEKIL</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725-2025</t>
        </is>
      </c>
      <c r="B14626" s="1" t="n">
        <v>45665.391875</v>
      </c>
      <c r="C14626" s="1" t="n">
        <v>46011</v>
      </c>
      <c r="D14626" t="inlineStr">
        <is>
          <t>VÄSTRA GÖTALANDS LÄN</t>
        </is>
      </c>
      <c r="E14626" t="inlineStr">
        <is>
          <t>VARA</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22233-2025</t>
        </is>
      </c>
      <c r="B14627" s="1" t="n">
        <v>45785.66967592593</v>
      </c>
      <c r="C14627" s="1" t="n">
        <v>46011</v>
      </c>
      <c r="D14627" t="inlineStr">
        <is>
          <t>VÄSTRA GÖTALANDS LÄN</t>
        </is>
      </c>
      <c r="E14627" t="inlineStr">
        <is>
          <t>SVENLJUNGA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22237-2025</t>
        </is>
      </c>
      <c r="B14628" s="1" t="n">
        <v>45785.67664351852</v>
      </c>
      <c r="C14628" s="1" t="n">
        <v>46011</v>
      </c>
      <c r="D14628" t="inlineStr">
        <is>
          <t>VÄSTRA GÖTALANDS LÄN</t>
        </is>
      </c>
      <c r="E14628" t="inlineStr">
        <is>
          <t>BORÅS</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22293-2025</t>
        </is>
      </c>
      <c r="B14629" s="1" t="n">
        <v>45786.34755787037</v>
      </c>
      <c r="C14629" s="1" t="n">
        <v>46011</v>
      </c>
      <c r="D14629" t="inlineStr">
        <is>
          <t>VÄSTRA GÖTALANDS LÄN</t>
        </is>
      </c>
      <c r="E14629" t="inlineStr">
        <is>
          <t>DALS-ED</t>
        </is>
      </c>
      <c r="G14629" t="n">
        <v>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49584-2024</t>
        </is>
      </c>
      <c r="B14630" s="1" t="n">
        <v>45596.54247685185</v>
      </c>
      <c r="C14630" s="1" t="n">
        <v>46011</v>
      </c>
      <c r="D14630" t="inlineStr">
        <is>
          <t>VÄSTRA GÖTALANDS LÄN</t>
        </is>
      </c>
      <c r="E14630" t="inlineStr">
        <is>
          <t>BORÅS</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11730-2025</t>
        </is>
      </c>
      <c r="B14631" s="1" t="n">
        <v>45727</v>
      </c>
      <c r="C14631" s="1" t="n">
        <v>46011</v>
      </c>
      <c r="D14631" t="inlineStr">
        <is>
          <t>VÄSTRA GÖTALANDS LÄN</t>
        </is>
      </c>
      <c r="E14631" t="inlineStr">
        <is>
          <t>TÖREBODA</t>
        </is>
      </c>
      <c r="G14631" t="n">
        <v>11.2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32796-2024</t>
        </is>
      </c>
      <c r="B14632" s="1" t="n">
        <v>45516.56032407407</v>
      </c>
      <c r="C14632" s="1" t="n">
        <v>46011</v>
      </c>
      <c r="D14632" t="inlineStr">
        <is>
          <t>VÄSTRA GÖTALANDS LÄN</t>
        </is>
      </c>
      <c r="E14632" t="inlineStr">
        <is>
          <t>MARIESTAD</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22175-2025</t>
        </is>
      </c>
      <c r="B14633" s="1" t="n">
        <v>45785.60768518518</v>
      </c>
      <c r="C14633" s="1" t="n">
        <v>46011</v>
      </c>
      <c r="D14633" t="inlineStr">
        <is>
          <t>VÄSTRA GÖTALANDS LÄN</t>
        </is>
      </c>
      <c r="E14633" t="inlineStr">
        <is>
          <t>TANUM</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16993-2024</t>
        </is>
      </c>
      <c r="B14634" s="1" t="n">
        <v>45412.33524305555</v>
      </c>
      <c r="C14634" s="1" t="n">
        <v>46011</v>
      </c>
      <c r="D14634" t="inlineStr">
        <is>
          <t>VÄSTRA GÖTALANDS LÄN</t>
        </is>
      </c>
      <c r="E14634" t="inlineStr">
        <is>
          <t>ULRICEHAMN</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22019-2025</t>
        </is>
      </c>
      <c r="B14635" s="1" t="n">
        <v>45784.83086805556</v>
      </c>
      <c r="C14635" s="1" t="n">
        <v>46011</v>
      </c>
      <c r="D14635" t="inlineStr">
        <is>
          <t>VÄSTRA GÖTALANDS LÄN</t>
        </is>
      </c>
      <c r="E14635" t="inlineStr">
        <is>
          <t>UDDEVALLA</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38376-2024</t>
        </is>
      </c>
      <c r="B14636" s="1" t="n">
        <v>45545</v>
      </c>
      <c r="C14636" s="1" t="n">
        <v>46011</v>
      </c>
      <c r="D14636" t="inlineStr">
        <is>
          <t>VÄSTRA GÖTALANDS LÄN</t>
        </is>
      </c>
      <c r="E14636" t="inlineStr">
        <is>
          <t>MARIESTAD</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12548-2023</t>
        </is>
      </c>
      <c r="B14637" s="1" t="n">
        <v>45000.33078703703</v>
      </c>
      <c r="C14637" s="1" t="n">
        <v>46011</v>
      </c>
      <c r="D14637" t="inlineStr">
        <is>
          <t>VÄSTRA GÖTALANDS LÄN</t>
        </is>
      </c>
      <c r="E14637" t="inlineStr">
        <is>
          <t>DALS-ED</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21269-2024</t>
        </is>
      </c>
      <c r="B14638" s="1" t="n">
        <v>45440.64200231482</v>
      </c>
      <c r="C14638" s="1" t="n">
        <v>46011</v>
      </c>
      <c r="D14638" t="inlineStr">
        <is>
          <t>VÄSTRA GÖTALANDS LÄN</t>
        </is>
      </c>
      <c r="E14638" t="inlineStr">
        <is>
          <t>GÖTENE</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23177-2023</t>
        </is>
      </c>
      <c r="B14639" s="1" t="n">
        <v>45075</v>
      </c>
      <c r="C14639" s="1" t="n">
        <v>46011</v>
      </c>
      <c r="D14639" t="inlineStr">
        <is>
          <t>VÄSTRA GÖTALANDS LÄN</t>
        </is>
      </c>
      <c r="E14639" t="inlineStr">
        <is>
          <t>TRANEMO</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22196-2025</t>
        </is>
      </c>
      <c r="B14640" s="1" t="n">
        <v>45785.64512731481</v>
      </c>
      <c r="C14640" s="1" t="n">
        <v>46011</v>
      </c>
      <c r="D14640" t="inlineStr">
        <is>
          <t>VÄSTRA GÖTALANDS LÄN</t>
        </is>
      </c>
      <c r="E14640" t="inlineStr">
        <is>
          <t>BENGTSFORS</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35125-2024</t>
        </is>
      </c>
      <c r="B14641" s="1" t="n">
        <v>45530.33131944444</v>
      </c>
      <c r="C14641" s="1" t="n">
        <v>46011</v>
      </c>
      <c r="D14641" t="inlineStr">
        <is>
          <t>VÄSTRA GÖTALANDS LÄN</t>
        </is>
      </c>
      <c r="E14641" t="inlineStr">
        <is>
          <t>TIDAHOLM</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28316-2024</t>
        </is>
      </c>
      <c r="B14642" s="1" t="n">
        <v>45477.50171296296</v>
      </c>
      <c r="C14642" s="1" t="n">
        <v>46011</v>
      </c>
      <c r="D14642" t="inlineStr">
        <is>
          <t>VÄSTRA GÖTALANDS LÄN</t>
        </is>
      </c>
      <c r="E14642" t="inlineStr">
        <is>
          <t>GÖTENE</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6402-2021</t>
        </is>
      </c>
      <c r="B14643" s="1" t="n">
        <v>44235</v>
      </c>
      <c r="C14643" s="1" t="n">
        <v>46011</v>
      </c>
      <c r="D14643" t="inlineStr">
        <is>
          <t>VÄSTRA GÖTALANDS LÄN</t>
        </is>
      </c>
      <c r="E14643" t="inlineStr">
        <is>
          <t>TROLLHÄTTAN</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22157-2021</t>
        </is>
      </c>
      <c r="B14644" s="1" t="n">
        <v>44325</v>
      </c>
      <c r="C14644" s="1" t="n">
        <v>46011</v>
      </c>
      <c r="D14644" t="inlineStr">
        <is>
          <t>VÄSTRA GÖTALANDS LÄN</t>
        </is>
      </c>
      <c r="E14644" t="inlineStr">
        <is>
          <t>ÅMÅL</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13513-2024</t>
        </is>
      </c>
      <c r="B14645" s="1" t="n">
        <v>45387</v>
      </c>
      <c r="C14645" s="1" t="n">
        <v>46011</v>
      </c>
      <c r="D14645" t="inlineStr">
        <is>
          <t>VÄSTRA GÖTALANDS LÄN</t>
        </is>
      </c>
      <c r="E14645" t="inlineStr">
        <is>
          <t>VARA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36738-2024</t>
        </is>
      </c>
      <c r="B14646" s="1" t="n">
        <v>45538.29486111111</v>
      </c>
      <c r="C14646" s="1" t="n">
        <v>46011</v>
      </c>
      <c r="D14646" t="inlineStr">
        <is>
          <t>VÄSTRA GÖTALANDS LÄN</t>
        </is>
      </c>
      <c r="E14646" t="inlineStr">
        <is>
          <t>HJO</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56373-2024</t>
        </is>
      </c>
      <c r="B14647" s="1" t="n">
        <v>45625.3313425926</v>
      </c>
      <c r="C14647" s="1" t="n">
        <v>46011</v>
      </c>
      <c r="D14647" t="inlineStr">
        <is>
          <t>VÄSTRA GÖTALANDS LÄN</t>
        </is>
      </c>
      <c r="E14647" t="inlineStr">
        <is>
          <t>LIDKÖPING</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22413-2025</t>
        </is>
      </c>
      <c r="B14648" s="1" t="n">
        <v>45786.55434027778</v>
      </c>
      <c r="C14648" s="1" t="n">
        <v>46011</v>
      </c>
      <c r="D14648" t="inlineStr">
        <is>
          <t>VÄSTRA GÖTALANDS LÄN</t>
        </is>
      </c>
      <c r="E14648" t="inlineStr">
        <is>
          <t>MARIESTAD</t>
        </is>
      </c>
      <c r="F14648" t="inlineStr">
        <is>
          <t>Sveaskog</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10681-2025</t>
        </is>
      </c>
      <c r="B14649" s="1" t="n">
        <v>45721.90905092593</v>
      </c>
      <c r="C14649" s="1" t="n">
        <v>46011</v>
      </c>
      <c r="D14649" t="inlineStr">
        <is>
          <t>VÄSTRA GÖTALANDS LÄN</t>
        </is>
      </c>
      <c r="E14649" t="inlineStr">
        <is>
          <t>BORÅS</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49004-2023</t>
        </is>
      </c>
      <c r="B14650" s="1" t="n">
        <v>45209.67533564815</v>
      </c>
      <c r="C14650" s="1" t="n">
        <v>46011</v>
      </c>
      <c r="D14650" t="inlineStr">
        <is>
          <t>VÄSTRA GÖTALANDS LÄN</t>
        </is>
      </c>
      <c r="E14650" t="inlineStr">
        <is>
          <t>BORÅS</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3572-2025</t>
        </is>
      </c>
      <c r="B14651" s="1" t="n">
        <v>45680.71428240741</v>
      </c>
      <c r="C14651" s="1" t="n">
        <v>46011</v>
      </c>
      <c r="D14651" t="inlineStr">
        <is>
          <t>VÄSTRA GÖTALANDS LÄN</t>
        </is>
      </c>
      <c r="E14651" t="inlineStr">
        <is>
          <t>TIBRO</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18665-2023</t>
        </is>
      </c>
      <c r="B14652" s="1" t="n">
        <v>45043.56636574074</v>
      </c>
      <c r="C14652" s="1" t="n">
        <v>46011</v>
      </c>
      <c r="D14652" t="inlineStr">
        <is>
          <t>VÄSTRA GÖTALANDS LÄN</t>
        </is>
      </c>
      <c r="E14652" t="inlineStr">
        <is>
          <t>BENGTSFORS</t>
        </is>
      </c>
      <c r="G14652" t="n">
        <v>21.7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9109-2025</t>
        </is>
      </c>
      <c r="B14653" s="1" t="n">
        <v>45713.77140046296</v>
      </c>
      <c r="C14653" s="1" t="n">
        <v>46011</v>
      </c>
      <c r="D14653" t="inlineStr">
        <is>
          <t>VÄSTRA GÖTALANDS LÄN</t>
        </is>
      </c>
      <c r="E14653" t="inlineStr">
        <is>
          <t>TÖREBODA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22056-2025</t>
        </is>
      </c>
      <c r="B14654" s="1" t="n">
        <v>45785.36883101852</v>
      </c>
      <c r="C14654" s="1" t="n">
        <v>46011</v>
      </c>
      <c r="D14654" t="inlineStr">
        <is>
          <t>VÄSTRA GÖTALANDS LÄN</t>
        </is>
      </c>
      <c r="E14654" t="inlineStr">
        <is>
          <t>BENGTSFORS</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22058-2025</t>
        </is>
      </c>
      <c r="B14655" s="1" t="n">
        <v>45785.37185185185</v>
      </c>
      <c r="C14655" s="1" t="n">
        <v>46011</v>
      </c>
      <c r="D14655" t="inlineStr">
        <is>
          <t>VÄSTRA GÖTALANDS LÄN</t>
        </is>
      </c>
      <c r="E14655" t="inlineStr">
        <is>
          <t>DALS-ED</t>
        </is>
      </c>
      <c r="F14655" t="inlineStr">
        <is>
          <t>Övriga Aktiebolag</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57141-2024</t>
        </is>
      </c>
      <c r="B14656" s="1" t="n">
        <v>45629.38807870371</v>
      </c>
      <c r="C14656" s="1" t="n">
        <v>46011</v>
      </c>
      <c r="D14656" t="inlineStr">
        <is>
          <t>VÄSTRA GÖTALANDS LÄN</t>
        </is>
      </c>
      <c r="E14656" t="inlineStr">
        <is>
          <t>SVENLJUNGA</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22110-2025</t>
        </is>
      </c>
      <c r="B14657" s="1" t="n">
        <v>45785.49209490741</v>
      </c>
      <c r="C14657" s="1" t="n">
        <v>46011</v>
      </c>
      <c r="D14657" t="inlineStr">
        <is>
          <t>VÄSTRA GÖTALANDS LÄN</t>
        </is>
      </c>
      <c r="E14657" t="inlineStr">
        <is>
          <t>ULRICEHAMN</t>
        </is>
      </c>
      <c r="G14657" t="n">
        <v>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51053-2022</t>
        </is>
      </c>
      <c r="B14658" s="1" t="n">
        <v>44868</v>
      </c>
      <c r="C14658" s="1" t="n">
        <v>46011</v>
      </c>
      <c r="D14658" t="inlineStr">
        <is>
          <t>VÄSTRA GÖTALANDS LÄN</t>
        </is>
      </c>
      <c r="E14658" t="inlineStr">
        <is>
          <t>BENGTSFORS</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54416-2024</t>
        </is>
      </c>
      <c r="B14659" s="1" t="n">
        <v>45617</v>
      </c>
      <c r="C14659" s="1" t="n">
        <v>46011</v>
      </c>
      <c r="D14659" t="inlineStr">
        <is>
          <t>VÄSTRA GÖTALANDS LÄN</t>
        </is>
      </c>
      <c r="E14659" t="inlineStr">
        <is>
          <t>KARLSBORG</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27342-2024</t>
        </is>
      </c>
      <c r="B14660" s="1" t="n">
        <v>45473.34694444444</v>
      </c>
      <c r="C14660" s="1" t="n">
        <v>46011</v>
      </c>
      <c r="D14660" t="inlineStr">
        <is>
          <t>VÄSTRA GÖTALANDS LÄN</t>
        </is>
      </c>
      <c r="E14660" t="inlineStr">
        <is>
          <t>MELLERUD</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22414-2025</t>
        </is>
      </c>
      <c r="B14661" s="1" t="n">
        <v>45786.55561342592</v>
      </c>
      <c r="C14661" s="1" t="n">
        <v>46011</v>
      </c>
      <c r="D14661" t="inlineStr">
        <is>
          <t>VÄSTRA GÖTALANDS LÄN</t>
        </is>
      </c>
      <c r="E14661" t="inlineStr">
        <is>
          <t>MARIESTAD</t>
        </is>
      </c>
      <c r="F14661" t="inlineStr">
        <is>
          <t>Sveaskog</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3683-2022</t>
        </is>
      </c>
      <c r="B14662" s="1" t="n">
        <v>44586.55920138889</v>
      </c>
      <c r="C14662" s="1" t="n">
        <v>46011</v>
      </c>
      <c r="D14662" t="inlineStr">
        <is>
          <t>VÄSTRA GÖTALANDS LÄN</t>
        </is>
      </c>
      <c r="E14662" t="inlineStr">
        <is>
          <t>MARK</t>
        </is>
      </c>
      <c r="G14662" t="n">
        <v>12.1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25135-2023</t>
        </is>
      </c>
      <c r="B14663" s="1" t="n">
        <v>45086.45140046296</v>
      </c>
      <c r="C14663" s="1" t="n">
        <v>46011</v>
      </c>
      <c r="D14663" t="inlineStr">
        <is>
          <t>VÄSTRA GÖTALANDS LÄN</t>
        </is>
      </c>
      <c r="E14663" t="inlineStr">
        <is>
          <t>SVENLJUNGA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13243-2023</t>
        </is>
      </c>
      <c r="B14664" s="1" t="n">
        <v>45002</v>
      </c>
      <c r="C14664" s="1" t="n">
        <v>46011</v>
      </c>
      <c r="D14664" t="inlineStr">
        <is>
          <t>VÄSTRA GÖTALANDS LÄN</t>
        </is>
      </c>
      <c r="E14664" t="inlineStr">
        <is>
          <t>ORUST</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22077-2025</t>
        </is>
      </c>
      <c r="B14665" s="1" t="n">
        <v>45785.42474537037</v>
      </c>
      <c r="C14665" s="1" t="n">
        <v>46011</v>
      </c>
      <c r="D14665" t="inlineStr">
        <is>
          <t>VÄSTRA GÖTALANDS LÄN</t>
        </is>
      </c>
      <c r="E14665" t="inlineStr">
        <is>
          <t>DALS-ED</t>
        </is>
      </c>
      <c r="G14665" t="n">
        <v>10.9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10800-2024</t>
        </is>
      </c>
      <c r="B14666" s="1" t="n">
        <v>45369.62201388889</v>
      </c>
      <c r="C14666" s="1" t="n">
        <v>46011</v>
      </c>
      <c r="D14666" t="inlineStr">
        <is>
          <t>VÄSTRA GÖTALANDS LÄN</t>
        </is>
      </c>
      <c r="E14666" t="inlineStr">
        <is>
          <t>ÅMÅL</t>
        </is>
      </c>
      <c r="G14666" t="n">
        <v>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20332-2023</t>
        </is>
      </c>
      <c r="B14667" s="1" t="n">
        <v>45056.47526620371</v>
      </c>
      <c r="C14667" s="1" t="n">
        <v>46011</v>
      </c>
      <c r="D14667" t="inlineStr">
        <is>
          <t>VÄSTRA GÖTALANDS LÄN</t>
        </is>
      </c>
      <c r="E14667" t="inlineStr">
        <is>
          <t>ESSUNGA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22068-2025</t>
        </is>
      </c>
      <c r="B14668" s="1" t="n">
        <v>45785.39237268519</v>
      </c>
      <c r="C14668" s="1" t="n">
        <v>46011</v>
      </c>
      <c r="D14668" t="inlineStr">
        <is>
          <t>VÄSTRA GÖTALANDS LÄN</t>
        </is>
      </c>
      <c r="E14668" t="inlineStr">
        <is>
          <t>DALS-ED</t>
        </is>
      </c>
      <c r="F14668" t="inlineStr">
        <is>
          <t>Övriga Aktiebolag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22157-2025</t>
        </is>
      </c>
      <c r="B14669" s="1" t="n">
        <v>45785.57702546296</v>
      </c>
      <c r="C14669" s="1" t="n">
        <v>46011</v>
      </c>
      <c r="D14669" t="inlineStr">
        <is>
          <t>VÄSTRA GÖTALANDS LÄN</t>
        </is>
      </c>
      <c r="E14669" t="inlineStr">
        <is>
          <t>MARK</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22418-2025</t>
        </is>
      </c>
      <c r="B14670" s="1" t="n">
        <v>45786.56079861111</v>
      </c>
      <c r="C14670" s="1" t="n">
        <v>46011</v>
      </c>
      <c r="D14670" t="inlineStr">
        <is>
          <t>VÄSTRA GÖTALANDS LÄN</t>
        </is>
      </c>
      <c r="E14670" t="inlineStr">
        <is>
          <t>TIBRO</t>
        </is>
      </c>
      <c r="F14670" t="inlineStr">
        <is>
          <t>Kyrkan</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22435-2025</t>
        </is>
      </c>
      <c r="B14671" s="1" t="n">
        <v>45786.58416666667</v>
      </c>
      <c r="C14671" s="1" t="n">
        <v>46011</v>
      </c>
      <c r="D14671" t="inlineStr">
        <is>
          <t>VÄSTRA GÖTALANDS LÄN</t>
        </is>
      </c>
      <c r="E14671" t="inlineStr">
        <is>
          <t>KARLSBORG</t>
        </is>
      </c>
      <c r="F14671" t="inlineStr">
        <is>
          <t>Sveaskog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59707-2024</t>
        </is>
      </c>
      <c r="B14672" s="1" t="n">
        <v>45639.44412037037</v>
      </c>
      <c r="C14672" s="1" t="n">
        <v>46011</v>
      </c>
      <c r="D14672" t="inlineStr">
        <is>
          <t>VÄSTRA GÖTALANDS LÄN</t>
        </is>
      </c>
      <c r="E14672" t="inlineStr">
        <is>
          <t>FALKÖPING</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2128-2025</t>
        </is>
      </c>
      <c r="B14673" s="1" t="n">
        <v>45672.65099537037</v>
      </c>
      <c r="C14673" s="1" t="n">
        <v>46011</v>
      </c>
      <c r="D14673" t="inlineStr">
        <is>
          <t>VÄSTRA GÖTALANDS LÄN</t>
        </is>
      </c>
      <c r="E14673" t="inlineStr">
        <is>
          <t>MARK</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22147-2025</t>
        </is>
      </c>
      <c r="B14674" s="1" t="n">
        <v>45785.55520833333</v>
      </c>
      <c r="C14674" s="1" t="n">
        <v>46011</v>
      </c>
      <c r="D14674" t="inlineStr">
        <is>
          <t>VÄSTRA GÖTALANDS LÄN</t>
        </is>
      </c>
      <c r="E14674" t="inlineStr">
        <is>
          <t>TRANEMO</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22152-2025</t>
        </is>
      </c>
      <c r="B14675" s="1" t="n">
        <v>45785.56844907408</v>
      </c>
      <c r="C14675" s="1" t="n">
        <v>46011</v>
      </c>
      <c r="D14675" t="inlineStr">
        <is>
          <t>VÄSTRA GÖTALANDS LÄN</t>
        </is>
      </c>
      <c r="E14675" t="inlineStr">
        <is>
          <t>ULRICEHAMN</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22187-2025</t>
        </is>
      </c>
      <c r="B14676" s="1" t="n">
        <v>45785.62372685185</v>
      </c>
      <c r="C14676" s="1" t="n">
        <v>46011</v>
      </c>
      <c r="D14676" t="inlineStr">
        <is>
          <t>VÄSTRA GÖTALANDS LÄN</t>
        </is>
      </c>
      <c r="E14676" t="inlineStr">
        <is>
          <t>STENUNGSUND</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22016-2025</t>
        </is>
      </c>
      <c r="B14677" s="1" t="n">
        <v>45784.78254629629</v>
      </c>
      <c r="C14677" s="1" t="n">
        <v>46011</v>
      </c>
      <c r="D14677" t="inlineStr">
        <is>
          <t>VÄSTRA GÖTALANDS LÄN</t>
        </is>
      </c>
      <c r="E14677" t="inlineStr">
        <is>
          <t>TROLLHÄTTAN</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22069-2025</t>
        </is>
      </c>
      <c r="B14678" s="1" t="n">
        <v>45785.40502314815</v>
      </c>
      <c r="C14678" s="1" t="n">
        <v>46011</v>
      </c>
      <c r="D14678" t="inlineStr">
        <is>
          <t>VÄSTRA GÖTALANDS LÄN</t>
        </is>
      </c>
      <c r="E14678" t="inlineStr">
        <is>
          <t>DALS-ED</t>
        </is>
      </c>
      <c r="F14678" t="inlineStr">
        <is>
          <t>Övriga Aktiebolag</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22075-2025</t>
        </is>
      </c>
      <c r="B14679" s="1" t="n">
        <v>45785.40935185185</v>
      </c>
      <c r="C14679" s="1" t="n">
        <v>46011</v>
      </c>
      <c r="D14679" t="inlineStr">
        <is>
          <t>VÄSTRA GÖTALANDS LÄN</t>
        </is>
      </c>
      <c r="E14679" t="inlineStr">
        <is>
          <t>DALS-ED</t>
        </is>
      </c>
      <c r="F14679" t="inlineStr">
        <is>
          <t>Övriga Aktiebolag</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6322-2024</t>
        </is>
      </c>
      <c r="B14680" s="1" t="n">
        <v>45338.41071759259</v>
      </c>
      <c r="C14680" s="1" t="n">
        <v>46011</v>
      </c>
      <c r="D14680" t="inlineStr">
        <is>
          <t>VÄSTRA GÖTALANDS LÄN</t>
        </is>
      </c>
      <c r="E14680" t="inlineStr">
        <is>
          <t>FÄRGELANDA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13313-2024</t>
        </is>
      </c>
      <c r="B14681" s="1" t="n">
        <v>45386.73177083334</v>
      </c>
      <c r="C14681" s="1" t="n">
        <v>46011</v>
      </c>
      <c r="D14681" t="inlineStr">
        <is>
          <t>VÄSTRA GÖTALANDS LÄN</t>
        </is>
      </c>
      <c r="E14681" t="inlineStr">
        <is>
          <t>MELLERUD</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9113-2025</t>
        </is>
      </c>
      <c r="B14682" s="1" t="n">
        <v>45713.78631944444</v>
      </c>
      <c r="C14682" s="1" t="n">
        <v>46011</v>
      </c>
      <c r="D14682" t="inlineStr">
        <is>
          <t>VÄSTRA GÖTALANDS LÄN</t>
        </is>
      </c>
      <c r="E14682" t="inlineStr">
        <is>
          <t>MARK</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59906-2024</t>
        </is>
      </c>
      <c r="B14683" s="1" t="n">
        <v>45641.60702546296</v>
      </c>
      <c r="C14683" s="1" t="n">
        <v>46011</v>
      </c>
      <c r="D14683" t="inlineStr">
        <is>
          <t>VÄSTRA GÖTALANDS LÄN</t>
        </is>
      </c>
      <c r="E14683" t="inlineStr">
        <is>
          <t>TRANEMO</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22201-2025</t>
        </is>
      </c>
      <c r="B14684" s="1" t="n">
        <v>45785.65288194444</v>
      </c>
      <c r="C14684" s="1" t="n">
        <v>46011</v>
      </c>
      <c r="D14684" t="inlineStr">
        <is>
          <t>VÄSTRA GÖTALANDS LÄN</t>
        </is>
      </c>
      <c r="E14684" t="inlineStr">
        <is>
          <t>SVENLJUNGA</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49435-2024</t>
        </is>
      </c>
      <c r="B14685" s="1" t="n">
        <v>45595.85221064815</v>
      </c>
      <c r="C14685" s="1" t="n">
        <v>46011</v>
      </c>
      <c r="D14685" t="inlineStr">
        <is>
          <t>VÄSTRA GÖTALANDS LÄN</t>
        </is>
      </c>
      <c r="E14685" t="inlineStr">
        <is>
          <t>SKARA</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22059-2025</t>
        </is>
      </c>
      <c r="B14686" s="1" t="n">
        <v>45785.37339120371</v>
      </c>
      <c r="C14686" s="1" t="n">
        <v>46011</v>
      </c>
      <c r="D14686" t="inlineStr">
        <is>
          <t>VÄSTRA GÖTALANDS LÄN</t>
        </is>
      </c>
      <c r="E14686" t="inlineStr">
        <is>
          <t>DALS-ED</t>
        </is>
      </c>
      <c r="F14686" t="inlineStr">
        <is>
          <t>Övriga Aktiebolag</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33491-2024</t>
        </is>
      </c>
      <c r="B14687" s="1" t="n">
        <v>45519.61547453704</v>
      </c>
      <c r="C14687" s="1" t="n">
        <v>46011</v>
      </c>
      <c r="D14687" t="inlineStr">
        <is>
          <t>VÄSTRA GÖTALANDS LÄN</t>
        </is>
      </c>
      <c r="E14687" t="inlineStr">
        <is>
          <t>ALINGSÅS</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2366-2025</t>
        </is>
      </c>
      <c r="B14688" s="1" t="n">
        <v>45673.72951388889</v>
      </c>
      <c r="C14688" s="1" t="n">
        <v>46011</v>
      </c>
      <c r="D14688" t="inlineStr">
        <is>
          <t>VÄSTRA GÖTALANDS LÄN</t>
        </is>
      </c>
      <c r="E14688" t="inlineStr">
        <is>
          <t>MARK</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19810-2025</t>
        </is>
      </c>
      <c r="B14689" s="1" t="n">
        <v>45771</v>
      </c>
      <c r="C14689" s="1" t="n">
        <v>46011</v>
      </c>
      <c r="D14689" t="inlineStr">
        <is>
          <t>VÄSTRA GÖTALANDS LÄN</t>
        </is>
      </c>
      <c r="E14689" t="inlineStr">
        <is>
          <t>HJO</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22028-2025</t>
        </is>
      </c>
      <c r="B14690" s="1" t="n">
        <v>45785.21606481481</v>
      </c>
      <c r="C14690" s="1" t="n">
        <v>46011</v>
      </c>
      <c r="D14690" t="inlineStr">
        <is>
          <t>VÄSTRA GÖTALANDS LÄN</t>
        </is>
      </c>
      <c r="E14690" t="inlineStr">
        <is>
          <t>TIBRO</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22351-2025</t>
        </is>
      </c>
      <c r="B14691" s="1" t="n">
        <v>45786.45296296296</v>
      </c>
      <c r="C14691" s="1" t="n">
        <v>46011</v>
      </c>
      <c r="D14691" t="inlineStr">
        <is>
          <t>VÄSTRA GÖTALANDS LÄN</t>
        </is>
      </c>
      <c r="E14691" t="inlineStr">
        <is>
          <t>ESSUNGA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22356-2025</t>
        </is>
      </c>
      <c r="B14692" s="1" t="n">
        <v>45786.46065972222</v>
      </c>
      <c r="C14692" s="1" t="n">
        <v>46011</v>
      </c>
      <c r="D14692" t="inlineStr">
        <is>
          <t>VÄSTRA GÖTALANDS LÄN</t>
        </is>
      </c>
      <c r="E14692" t="inlineStr">
        <is>
          <t>ESSUNGA</t>
        </is>
      </c>
      <c r="G14692" t="n">
        <v>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22424-2025</t>
        </is>
      </c>
      <c r="B14693" s="1" t="n">
        <v>45786.56738425926</v>
      </c>
      <c r="C14693" s="1" t="n">
        <v>46011</v>
      </c>
      <c r="D14693" t="inlineStr">
        <is>
          <t>VÄSTRA GÖTALANDS LÄN</t>
        </is>
      </c>
      <c r="E14693" t="inlineStr">
        <is>
          <t>BOLLEBYGD</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17771-2024</t>
        </is>
      </c>
      <c r="B14694" s="1" t="n">
        <v>45418</v>
      </c>
      <c r="C14694" s="1" t="n">
        <v>46011</v>
      </c>
      <c r="D14694" t="inlineStr">
        <is>
          <t>VÄSTRA GÖTALANDS LÄN</t>
        </is>
      </c>
      <c r="E14694" t="inlineStr">
        <is>
          <t>MARK</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22271-2025</t>
        </is>
      </c>
      <c r="B14695" s="1" t="n">
        <v>45785.89675925926</v>
      </c>
      <c r="C14695" s="1" t="n">
        <v>46011</v>
      </c>
      <c r="D14695" t="inlineStr">
        <is>
          <t>VÄSTRA GÖTALANDS LÄN</t>
        </is>
      </c>
      <c r="E14695" t="inlineStr">
        <is>
          <t>HÄRRYDA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22340-2025</t>
        </is>
      </c>
      <c r="B14696" s="1" t="n">
        <v>45786.44733796296</v>
      </c>
      <c r="C14696" s="1" t="n">
        <v>46011</v>
      </c>
      <c r="D14696" t="inlineStr">
        <is>
          <t>VÄSTRA GÖTALANDS LÄN</t>
        </is>
      </c>
      <c r="E14696" t="inlineStr">
        <is>
          <t>ESSUNGA</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61817-2024</t>
        </is>
      </c>
      <c r="B14697" s="1" t="n">
        <v>45649.60460648148</v>
      </c>
      <c r="C14697" s="1" t="n">
        <v>46011</v>
      </c>
      <c r="D14697" t="inlineStr">
        <is>
          <t>VÄSTRA GÖTALANDS LÄN</t>
        </is>
      </c>
      <c r="E14697" t="inlineStr">
        <is>
          <t>LIDKÖPING</t>
        </is>
      </c>
      <c r="G14697" t="n">
        <v>4.6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58683-2024</t>
        </is>
      </c>
      <c r="B14698" s="1" t="n">
        <v>45635.61765046296</v>
      </c>
      <c r="C14698" s="1" t="n">
        <v>46011</v>
      </c>
      <c r="D14698" t="inlineStr">
        <is>
          <t>VÄSTRA GÖTALANDS LÄN</t>
        </is>
      </c>
      <c r="E14698" t="inlineStr">
        <is>
          <t>SKARA</t>
        </is>
      </c>
      <c r="G14698" t="n">
        <v>9.199999999999999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21617-2024</t>
        </is>
      </c>
      <c r="B14699" s="1" t="n">
        <v>45441.97630787037</v>
      </c>
      <c r="C14699" s="1" t="n">
        <v>46011</v>
      </c>
      <c r="D14699" t="inlineStr">
        <is>
          <t>VÄSTRA GÖTALANDS LÄN</t>
        </is>
      </c>
      <c r="E14699" t="inlineStr">
        <is>
          <t>LILLA EDET</t>
        </is>
      </c>
      <c r="G14699" t="n">
        <v>9.699999999999999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22666-2025</t>
        </is>
      </c>
      <c r="B14700" s="1" t="n">
        <v>45789.4871412037</v>
      </c>
      <c r="C14700" s="1" t="n">
        <v>46011</v>
      </c>
      <c r="D14700" t="inlineStr">
        <is>
          <t>VÄSTRA GÖTALANDS LÄN</t>
        </is>
      </c>
      <c r="E14700" t="inlineStr">
        <is>
          <t>TANUM</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18661-2024</t>
        </is>
      </c>
      <c r="B14701" s="1" t="n">
        <v>45426.30793981482</v>
      </c>
      <c r="C14701" s="1" t="n">
        <v>46011</v>
      </c>
      <c r="D14701" t="inlineStr">
        <is>
          <t>VÄSTRA GÖTALANDS LÄN</t>
        </is>
      </c>
      <c r="E14701" t="inlineStr">
        <is>
          <t>FALKÖPING</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20177-2024</t>
        </is>
      </c>
      <c r="B14702" s="1" t="n">
        <v>45434.61606481481</v>
      </c>
      <c r="C14702" s="1" t="n">
        <v>46011</v>
      </c>
      <c r="D14702" t="inlineStr">
        <is>
          <t>VÄSTRA GÖTALANDS LÄN</t>
        </is>
      </c>
      <c r="E14702" t="inlineStr">
        <is>
          <t>MARK</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22638-2025</t>
        </is>
      </c>
      <c r="B14703" s="1" t="n">
        <v>45789.4516087963</v>
      </c>
      <c r="C14703" s="1" t="n">
        <v>46011</v>
      </c>
      <c r="D14703" t="inlineStr">
        <is>
          <t>VÄSTRA GÖTALANDS LÄN</t>
        </is>
      </c>
      <c r="E14703" t="inlineStr">
        <is>
          <t>SVENLJUNGA</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22642-2025</t>
        </is>
      </c>
      <c r="B14704" s="1" t="n">
        <v>45789.45525462963</v>
      </c>
      <c r="C14704" s="1" t="n">
        <v>46011</v>
      </c>
      <c r="D14704" t="inlineStr">
        <is>
          <t>VÄSTRA GÖTALANDS LÄN</t>
        </is>
      </c>
      <c r="E14704" t="inlineStr">
        <is>
          <t>MARK</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60382-2023</t>
        </is>
      </c>
      <c r="B14705" s="1" t="n">
        <v>45259</v>
      </c>
      <c r="C14705" s="1" t="n">
        <v>46011</v>
      </c>
      <c r="D14705" t="inlineStr">
        <is>
          <t>VÄSTRA GÖTALANDS LÄN</t>
        </is>
      </c>
      <c r="E14705" t="inlineStr">
        <is>
          <t>FÄRGELANDA</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12785-2024</t>
        </is>
      </c>
      <c r="B14706" s="1" t="n">
        <v>45384</v>
      </c>
      <c r="C14706" s="1" t="n">
        <v>46011</v>
      </c>
      <c r="D14706" t="inlineStr">
        <is>
          <t>VÄSTRA GÖTALANDS LÄN</t>
        </is>
      </c>
      <c r="E14706" t="inlineStr">
        <is>
          <t>SVENLJUNGA</t>
        </is>
      </c>
      <c r="G14706" t="n">
        <v>6.5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22922-2025</t>
        </is>
      </c>
      <c r="B14707" s="1" t="n">
        <v>45790.44003472223</v>
      </c>
      <c r="C14707" s="1" t="n">
        <v>46011</v>
      </c>
      <c r="D14707" t="inlineStr">
        <is>
          <t>VÄSTRA GÖTALANDS LÄN</t>
        </is>
      </c>
      <c r="E14707" t="inlineStr">
        <is>
          <t>LIDKÖPING</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22906-2025</t>
        </is>
      </c>
      <c r="B14708" s="1" t="n">
        <v>45790.41703703703</v>
      </c>
      <c r="C14708" s="1" t="n">
        <v>46011</v>
      </c>
      <c r="D14708" t="inlineStr">
        <is>
          <t>VÄSTRA GÖTALANDS LÄN</t>
        </is>
      </c>
      <c r="E14708" t="inlineStr">
        <is>
          <t>DALS-ED</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10303-2024</t>
        </is>
      </c>
      <c r="B14709" s="1" t="n">
        <v>45365</v>
      </c>
      <c r="C14709" s="1" t="n">
        <v>46011</v>
      </c>
      <c r="D14709" t="inlineStr">
        <is>
          <t>VÄSTRA GÖTALANDS LÄN</t>
        </is>
      </c>
      <c r="E14709" t="inlineStr">
        <is>
          <t>VARA</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23012-2025</t>
        </is>
      </c>
      <c r="B14710" s="1" t="n">
        <v>45790</v>
      </c>
      <c r="C14710" s="1" t="n">
        <v>46011</v>
      </c>
      <c r="D14710" t="inlineStr">
        <is>
          <t>VÄSTRA GÖTALANDS LÄN</t>
        </is>
      </c>
      <c r="E14710" t="inlineStr">
        <is>
          <t>STRÖMSTAD</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11869-2025</t>
        </is>
      </c>
      <c r="B14711" s="1" t="n">
        <v>45728.42609953704</v>
      </c>
      <c r="C14711" s="1" t="n">
        <v>46011</v>
      </c>
      <c r="D14711" t="inlineStr">
        <is>
          <t>VÄSTRA GÖTALANDS LÄN</t>
        </is>
      </c>
      <c r="E14711" t="inlineStr">
        <is>
          <t>FALKÖPING</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22847-2025</t>
        </is>
      </c>
      <c r="B14712" s="1" t="n">
        <v>45790.32974537037</v>
      </c>
      <c r="C14712" s="1" t="n">
        <v>46011</v>
      </c>
      <c r="D14712" t="inlineStr">
        <is>
          <t>VÄSTRA GÖTALANDS LÄN</t>
        </is>
      </c>
      <c r="E14712" t="inlineStr">
        <is>
          <t>DALS-ED</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22663-2025</t>
        </is>
      </c>
      <c r="B14713" s="1" t="n">
        <v>45789.48394675926</v>
      </c>
      <c r="C14713" s="1" t="n">
        <v>46011</v>
      </c>
      <c r="D14713" t="inlineStr">
        <is>
          <t>VÄSTRA GÖTALANDS LÄN</t>
        </is>
      </c>
      <c r="E14713" t="inlineStr">
        <is>
          <t>TANUM</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22877-2025</t>
        </is>
      </c>
      <c r="B14714" s="1" t="n">
        <v>45790.37597222222</v>
      </c>
      <c r="C14714" s="1" t="n">
        <v>46011</v>
      </c>
      <c r="D14714" t="inlineStr">
        <is>
          <t>VÄSTRA GÖTALANDS LÄN</t>
        </is>
      </c>
      <c r="E14714" t="inlineStr">
        <is>
          <t>LIDKÖPING</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22890-2025</t>
        </is>
      </c>
      <c r="B14715" s="1" t="n">
        <v>45790.39219907407</v>
      </c>
      <c r="C14715" s="1" t="n">
        <v>46011</v>
      </c>
      <c r="D14715" t="inlineStr">
        <is>
          <t>VÄSTRA GÖTALANDS LÄN</t>
        </is>
      </c>
      <c r="E14715" t="inlineStr">
        <is>
          <t>MELLERUD</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43879-2024</t>
        </is>
      </c>
      <c r="B14716" s="1" t="n">
        <v>45572.39009259259</v>
      </c>
      <c r="C14716" s="1" t="n">
        <v>46011</v>
      </c>
      <c r="D14716" t="inlineStr">
        <is>
          <t>VÄSTRA GÖTALANDS LÄN</t>
        </is>
      </c>
      <c r="E14716" t="inlineStr">
        <is>
          <t>SVENLJUNGA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22658-2025</t>
        </is>
      </c>
      <c r="B14717" s="1" t="n">
        <v>45789.47318287037</v>
      </c>
      <c r="C14717" s="1" t="n">
        <v>46011</v>
      </c>
      <c r="D14717" t="inlineStr">
        <is>
          <t>VÄSTRA GÖTALANDS LÄN</t>
        </is>
      </c>
      <c r="E14717" t="inlineStr">
        <is>
          <t>LYSEKIL</t>
        </is>
      </c>
      <c r="G14717" t="n">
        <v>4.5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8368-2025</t>
        </is>
      </c>
      <c r="B14718" s="1" t="n">
        <v>45709.27710648148</v>
      </c>
      <c r="C14718" s="1" t="n">
        <v>46011</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1847-2024</t>
        </is>
      </c>
      <c r="B14719" s="1" t="n">
        <v>45307.69517361111</v>
      </c>
      <c r="C14719" s="1" t="n">
        <v>46011</v>
      </c>
      <c r="D14719" t="inlineStr">
        <is>
          <t>VÄSTRA GÖTALANDS LÄN</t>
        </is>
      </c>
      <c r="E14719" t="inlineStr">
        <is>
          <t>MARIESTAD</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48324-2024</t>
        </is>
      </c>
      <c r="B14720" s="1" t="n">
        <v>45590.50378472222</v>
      </c>
      <c r="C14720" s="1" t="n">
        <v>46011</v>
      </c>
      <c r="D14720" t="inlineStr">
        <is>
          <t>VÄSTRA GÖTALANDS LÄN</t>
        </is>
      </c>
      <c r="E14720" t="inlineStr">
        <is>
          <t>MARIESTAD</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22959-2025</t>
        </is>
      </c>
      <c r="B14721" s="1" t="n">
        <v>45790</v>
      </c>
      <c r="C14721" s="1" t="n">
        <v>46011</v>
      </c>
      <c r="D14721" t="inlineStr">
        <is>
          <t>VÄSTRA GÖTALANDS LÄN</t>
        </is>
      </c>
      <c r="E14721" t="inlineStr">
        <is>
          <t>ORUST</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22949-2025</t>
        </is>
      </c>
      <c r="B14722" s="1" t="n">
        <v>45790.49822916667</v>
      </c>
      <c r="C14722" s="1" t="n">
        <v>46011</v>
      </c>
      <c r="D14722" t="inlineStr">
        <is>
          <t>VÄSTRA GÖTALANDS LÄN</t>
        </is>
      </c>
      <c r="E14722" t="inlineStr">
        <is>
          <t>SVENLJUNGA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22966-2025</t>
        </is>
      </c>
      <c r="B14723" s="1" t="n">
        <v>45790.54443287037</v>
      </c>
      <c r="C14723" s="1" t="n">
        <v>46011</v>
      </c>
      <c r="D14723" t="inlineStr">
        <is>
          <t>VÄSTRA GÖTALANDS LÄN</t>
        </is>
      </c>
      <c r="E14723" t="inlineStr">
        <is>
          <t>SVENLJUNGA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22975-2025</t>
        </is>
      </c>
      <c r="B14724" s="1" t="n">
        <v>45790.56325231482</v>
      </c>
      <c r="C14724" s="1" t="n">
        <v>46011</v>
      </c>
      <c r="D14724" t="inlineStr">
        <is>
          <t>VÄSTRA GÖTALANDS LÄN</t>
        </is>
      </c>
      <c r="E14724" t="inlineStr">
        <is>
          <t>MARIESTAD</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22636-2025</t>
        </is>
      </c>
      <c r="B14725" s="1" t="n">
        <v>45789.4496412037</v>
      </c>
      <c r="C14725" s="1" t="n">
        <v>46011</v>
      </c>
      <c r="D14725" t="inlineStr">
        <is>
          <t>VÄSTRA GÖTALANDS LÄN</t>
        </is>
      </c>
      <c r="E14725" t="inlineStr">
        <is>
          <t>SVENLJUNGA</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9973-2024</t>
        </is>
      </c>
      <c r="B14726" s="1" t="n">
        <v>45363.68083333333</v>
      </c>
      <c r="C14726" s="1" t="n">
        <v>46011</v>
      </c>
      <c r="D14726" t="inlineStr">
        <is>
          <t>VÄSTRA GÖTALANDS LÄN</t>
        </is>
      </c>
      <c r="E14726" t="inlineStr">
        <is>
          <t>LIDKÖPING</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22326-2025</t>
        </is>
      </c>
      <c r="B14727" s="1" t="n">
        <v>45786.41207175926</v>
      </c>
      <c r="C14727" s="1" t="n">
        <v>46011</v>
      </c>
      <c r="D14727" t="inlineStr">
        <is>
          <t>VÄSTRA GÖTALANDS LÄN</t>
        </is>
      </c>
      <c r="E14727" t="inlineStr">
        <is>
          <t>VÄNERSBORG</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22761-2025</t>
        </is>
      </c>
      <c r="B14728" s="1" t="n">
        <v>45789.6207175926</v>
      </c>
      <c r="C14728" s="1" t="n">
        <v>46011</v>
      </c>
      <c r="D14728" t="inlineStr">
        <is>
          <t>VÄSTRA GÖTALANDS LÄN</t>
        </is>
      </c>
      <c r="E14728" t="inlineStr">
        <is>
          <t>KARLSBORG</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22857-2025</t>
        </is>
      </c>
      <c r="B14729" s="1" t="n">
        <v>45790.34878472222</v>
      </c>
      <c r="C14729" s="1" t="n">
        <v>46011</v>
      </c>
      <c r="D14729" t="inlineStr">
        <is>
          <t>VÄSTRA GÖTALANDS LÄN</t>
        </is>
      </c>
      <c r="E14729" t="inlineStr">
        <is>
          <t>TIDAHOLM</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22828-2025</t>
        </is>
      </c>
      <c r="B14730" s="1" t="n">
        <v>45789.84356481482</v>
      </c>
      <c r="C14730" s="1" t="n">
        <v>46011</v>
      </c>
      <c r="D14730" t="inlineStr">
        <is>
          <t>VÄSTRA GÖTALANDS LÄN</t>
        </is>
      </c>
      <c r="E14730" t="inlineStr">
        <is>
          <t>TIBRO</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22937-2025</t>
        </is>
      </c>
      <c r="B14731" s="1" t="n">
        <v>45790.46292824074</v>
      </c>
      <c r="C14731" s="1" t="n">
        <v>46011</v>
      </c>
      <c r="D14731" t="inlineStr">
        <is>
          <t>VÄSTRA GÖTALANDS LÄN</t>
        </is>
      </c>
      <c r="E14731" t="inlineStr">
        <is>
          <t>ULRICEHAMN</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22734-2025</t>
        </is>
      </c>
      <c r="B14732" s="1" t="n">
        <v>45789.58822916666</v>
      </c>
      <c r="C14732" s="1" t="n">
        <v>46011</v>
      </c>
      <c r="D14732" t="inlineStr">
        <is>
          <t>VÄSTRA GÖTALANDS LÄN</t>
        </is>
      </c>
      <c r="E14732" t="inlineStr">
        <is>
          <t>BORÅS</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22736-2025</t>
        </is>
      </c>
      <c r="B14733" s="1" t="n">
        <v>45789.59091435185</v>
      </c>
      <c r="C14733" s="1" t="n">
        <v>46011</v>
      </c>
      <c r="D14733" t="inlineStr">
        <is>
          <t>VÄSTRA GÖTALANDS LÄN</t>
        </is>
      </c>
      <c r="E14733" t="inlineStr">
        <is>
          <t>BORÅS</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61961-2023</t>
        </is>
      </c>
      <c r="B14734" s="1" t="n">
        <v>45266.57142361111</v>
      </c>
      <c r="C14734" s="1" t="n">
        <v>46011</v>
      </c>
      <c r="D14734" t="inlineStr">
        <is>
          <t>VÄSTRA GÖTALANDS LÄN</t>
        </is>
      </c>
      <c r="E14734" t="inlineStr">
        <is>
          <t>SVENLJUNGA</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22358-2025</t>
        </is>
      </c>
      <c r="B14735" s="1" t="n">
        <v>45786.46289351852</v>
      </c>
      <c r="C14735" s="1" t="n">
        <v>46011</v>
      </c>
      <c r="D14735" t="inlineStr">
        <is>
          <t>VÄSTRA GÖTALANDS LÄN</t>
        </is>
      </c>
      <c r="E14735" t="inlineStr">
        <is>
          <t>TIBRO</t>
        </is>
      </c>
      <c r="F14735" t="inlineStr">
        <is>
          <t>Kyrkan</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22939-2025</t>
        </is>
      </c>
      <c r="B14736" s="1" t="n">
        <v>45790.4675462963</v>
      </c>
      <c r="C14736" s="1" t="n">
        <v>46011</v>
      </c>
      <c r="D14736" t="inlineStr">
        <is>
          <t>VÄSTRA GÖTALANDS LÄN</t>
        </is>
      </c>
      <c r="E14736" t="inlineStr">
        <is>
          <t>ULRICEHAMN</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22963-2025</t>
        </is>
      </c>
      <c r="B14737" s="1" t="n">
        <v>45790.54076388889</v>
      </c>
      <c r="C14737" s="1" t="n">
        <v>46011</v>
      </c>
      <c r="D14737" t="inlineStr">
        <is>
          <t>VÄSTRA GÖTALANDS LÄN</t>
        </is>
      </c>
      <c r="E14737" t="inlineStr">
        <is>
          <t>TIDAHOLM</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22827-2025</t>
        </is>
      </c>
      <c r="B14738" s="1" t="n">
        <v>45789.84092592593</v>
      </c>
      <c r="C14738" s="1" t="n">
        <v>46011</v>
      </c>
      <c r="D14738" t="inlineStr">
        <is>
          <t>VÄSTRA GÖTALANDS LÄN</t>
        </is>
      </c>
      <c r="E14738" t="inlineStr">
        <is>
          <t>TIBRO</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22829-2025</t>
        </is>
      </c>
      <c r="B14739" s="1" t="n">
        <v>45789.84584490741</v>
      </c>
      <c r="C14739" s="1" t="n">
        <v>46011</v>
      </c>
      <c r="D14739" t="inlineStr">
        <is>
          <t>VÄSTRA GÖTALANDS LÄN</t>
        </is>
      </c>
      <c r="E14739" t="inlineStr">
        <is>
          <t>TRANEMO</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23060-2025</t>
        </is>
      </c>
      <c r="B14740" s="1" t="n">
        <v>45790</v>
      </c>
      <c r="C14740" s="1" t="n">
        <v>46011</v>
      </c>
      <c r="D14740" t="inlineStr">
        <is>
          <t>VÄSTRA GÖTALANDS LÄN</t>
        </is>
      </c>
      <c r="E14740" t="inlineStr">
        <is>
          <t>VÄNERSBORG</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22765-2025</t>
        </is>
      </c>
      <c r="B14741" s="1" t="n">
        <v>45789.6285300926</v>
      </c>
      <c r="C14741" s="1" t="n">
        <v>46011</v>
      </c>
      <c r="D14741" t="inlineStr">
        <is>
          <t>VÄSTRA GÖTALANDS LÄN</t>
        </is>
      </c>
      <c r="E14741" t="inlineStr">
        <is>
          <t>MARIESTAD</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22965-2025</t>
        </is>
      </c>
      <c r="B14742" s="1" t="n">
        <v>45790.54224537037</v>
      </c>
      <c r="C14742" s="1" t="n">
        <v>46011</v>
      </c>
      <c r="D14742" t="inlineStr">
        <is>
          <t>VÄSTRA GÖTALANDS LÄN</t>
        </is>
      </c>
      <c r="E14742" t="inlineStr">
        <is>
          <t>TIDAHOLM</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22946-2025</t>
        </is>
      </c>
      <c r="B14743" s="1" t="n">
        <v>45790.48229166667</v>
      </c>
      <c r="C14743" s="1" t="n">
        <v>46011</v>
      </c>
      <c r="D14743" t="inlineStr">
        <is>
          <t>VÄSTRA GÖTALANDS LÄN</t>
        </is>
      </c>
      <c r="E14743" t="inlineStr">
        <is>
          <t>ALE</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22901-2025</t>
        </is>
      </c>
      <c r="B14744" s="1" t="n">
        <v>45790.41216435185</v>
      </c>
      <c r="C14744" s="1" t="n">
        <v>46011</v>
      </c>
      <c r="D14744" t="inlineStr">
        <is>
          <t>VÄSTRA GÖTALANDS LÄN</t>
        </is>
      </c>
      <c r="E14744" t="inlineStr">
        <is>
          <t>DALS-ED</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30724-2024</t>
        </is>
      </c>
      <c r="B14745" s="1" t="n">
        <v>45496</v>
      </c>
      <c r="C14745" s="1" t="n">
        <v>46011</v>
      </c>
      <c r="D14745" t="inlineStr">
        <is>
          <t>VÄSTRA GÖTALANDS LÄN</t>
        </is>
      </c>
      <c r="E14745" t="inlineStr">
        <is>
          <t>LILLA EDET</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43938-2024</t>
        </is>
      </c>
      <c r="B14746" s="1" t="n">
        <v>45572.46334490741</v>
      </c>
      <c r="C14746" s="1" t="n">
        <v>46011</v>
      </c>
      <c r="D14746" t="inlineStr">
        <is>
          <t>VÄSTRA GÖTALANDS LÄN</t>
        </is>
      </c>
      <c r="E14746" t="inlineStr">
        <is>
          <t>BOLLEBYGD</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22750-2025</t>
        </is>
      </c>
      <c r="B14747" s="1" t="n">
        <v>45789.61164351852</v>
      </c>
      <c r="C14747" s="1" t="n">
        <v>46011</v>
      </c>
      <c r="D14747" t="inlineStr">
        <is>
          <t>VÄSTRA GÖTALANDS LÄN</t>
        </is>
      </c>
      <c r="E14747" t="inlineStr">
        <is>
          <t>GULLSPÅNG</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22561-2025</t>
        </is>
      </c>
      <c r="B14748" s="1" t="n">
        <v>45789.3449537037</v>
      </c>
      <c r="C14748" s="1" t="n">
        <v>46011</v>
      </c>
      <c r="D14748" t="inlineStr">
        <is>
          <t>VÄSTRA GÖTALANDS LÄN</t>
        </is>
      </c>
      <c r="E14748" t="inlineStr">
        <is>
          <t>LILLA EDET</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33568-2024</t>
        </is>
      </c>
      <c r="B14749" s="1" t="n">
        <v>45519</v>
      </c>
      <c r="C14749" s="1" t="n">
        <v>46011</v>
      </c>
      <c r="D14749" t="inlineStr">
        <is>
          <t>VÄSTRA GÖTALANDS LÄN</t>
        </is>
      </c>
      <c r="E14749" t="inlineStr">
        <is>
          <t>TIDAHOLM</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23504-2025</t>
        </is>
      </c>
      <c r="B14750" s="1" t="n">
        <v>45792.48877314815</v>
      </c>
      <c r="C14750" s="1" t="n">
        <v>46011</v>
      </c>
      <c r="D14750" t="inlineStr">
        <is>
          <t>VÄSTRA GÖTALANDS LÄN</t>
        </is>
      </c>
      <c r="E14750" t="inlineStr">
        <is>
          <t>BORÅS</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9256-2025</t>
        </is>
      </c>
      <c r="B14751" s="1" t="n">
        <v>45714.59451388889</v>
      </c>
      <c r="C14751" s="1" t="n">
        <v>46011</v>
      </c>
      <c r="D14751" t="inlineStr">
        <is>
          <t>VÄSTRA GÖTALANDS LÄN</t>
        </is>
      </c>
      <c r="E14751" t="inlineStr">
        <is>
          <t>MARK</t>
        </is>
      </c>
      <c r="G14751" t="n">
        <v>5.8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9752-2025</t>
        </is>
      </c>
      <c r="B14752" s="1" t="n">
        <v>45716</v>
      </c>
      <c r="C14752" s="1" t="n">
        <v>46011</v>
      </c>
      <c r="D14752" t="inlineStr">
        <is>
          <t>VÄSTRA GÖTALANDS LÄN</t>
        </is>
      </c>
      <c r="E14752" t="inlineStr">
        <is>
          <t>SKARA</t>
        </is>
      </c>
      <c r="F14752" t="inlineStr">
        <is>
          <t>Sveaskog</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29371-2021</t>
        </is>
      </c>
      <c r="B14753" s="1" t="n">
        <v>44361</v>
      </c>
      <c r="C14753" s="1" t="n">
        <v>46011</v>
      </c>
      <c r="D14753" t="inlineStr">
        <is>
          <t>VÄSTRA GÖTALANDS LÄN</t>
        </is>
      </c>
      <c r="E14753" t="inlineStr">
        <is>
          <t>VÄNERSBORG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10679-2025</t>
        </is>
      </c>
      <c r="B14754" s="1" t="n">
        <v>45721.89462962963</v>
      </c>
      <c r="C14754" s="1" t="n">
        <v>46011</v>
      </c>
      <c r="D14754" t="inlineStr">
        <is>
          <t>VÄSTRA GÖTALANDS LÄN</t>
        </is>
      </c>
      <c r="E14754" t="inlineStr">
        <is>
          <t>KUNGÄLV</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11329-2025</t>
        </is>
      </c>
      <c r="B14755" s="1" t="n">
        <v>45726.47752314815</v>
      </c>
      <c r="C14755" s="1" t="n">
        <v>46011</v>
      </c>
      <c r="D14755" t="inlineStr">
        <is>
          <t>VÄSTRA GÖTALANDS LÄN</t>
        </is>
      </c>
      <c r="E14755" t="inlineStr">
        <is>
          <t>LILLA EDET</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9652-2025</t>
        </is>
      </c>
      <c r="B14756" s="1" t="n">
        <v>45716.26694444445</v>
      </c>
      <c r="C14756" s="1" t="n">
        <v>46011</v>
      </c>
      <c r="D14756" t="inlineStr">
        <is>
          <t>VÄSTRA GÖTALANDS LÄN</t>
        </is>
      </c>
      <c r="E14756" t="inlineStr">
        <is>
          <t>MARIESTAD</t>
        </is>
      </c>
      <c r="F14756" t="inlineStr">
        <is>
          <t>Sveaskog</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9937-2025</t>
        </is>
      </c>
      <c r="B14757" s="1" t="n">
        <v>45718.64129629629</v>
      </c>
      <c r="C14757" s="1" t="n">
        <v>46011</v>
      </c>
      <c r="D14757" t="inlineStr">
        <is>
          <t>VÄSTRA GÖTALANDS LÄN</t>
        </is>
      </c>
      <c r="E14757" t="inlineStr">
        <is>
          <t>ORUST</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10525-2025</t>
        </is>
      </c>
      <c r="B14758" s="1" t="n">
        <v>45721.43710648148</v>
      </c>
      <c r="C14758" s="1" t="n">
        <v>46011</v>
      </c>
      <c r="D14758" t="inlineStr">
        <is>
          <t>VÄSTRA GÖTALANDS LÄN</t>
        </is>
      </c>
      <c r="E14758" t="inlineStr">
        <is>
          <t>VÄNERSBORG</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23195-2025</t>
        </is>
      </c>
      <c r="B14759" s="1" t="n">
        <v>45791.45641203703</v>
      </c>
      <c r="C14759" s="1" t="n">
        <v>46011</v>
      </c>
      <c r="D14759" t="inlineStr">
        <is>
          <t>VÄSTRA GÖTALANDS LÄN</t>
        </is>
      </c>
      <c r="E14759" t="inlineStr">
        <is>
          <t>BENGTSFORS</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23226-2025</t>
        </is>
      </c>
      <c r="B14760" s="1" t="n">
        <v>45791.48756944444</v>
      </c>
      <c r="C14760" s="1" t="n">
        <v>46011</v>
      </c>
      <c r="D14760" t="inlineStr">
        <is>
          <t>VÄSTRA GÖTALANDS LÄN</t>
        </is>
      </c>
      <c r="E14760" t="inlineStr">
        <is>
          <t>ÅMÅL</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14107-2025</t>
        </is>
      </c>
      <c r="B14761" s="1" t="n">
        <v>45740.45726851852</v>
      </c>
      <c r="C14761" s="1" t="n">
        <v>46011</v>
      </c>
      <c r="D14761" t="inlineStr">
        <is>
          <t>VÄSTRA GÖTALANDS LÄN</t>
        </is>
      </c>
      <c r="E14761" t="inlineStr">
        <is>
          <t>MUNKEDAL</t>
        </is>
      </c>
      <c r="G14761" t="n">
        <v>13.8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23264-2025</t>
        </is>
      </c>
      <c r="B14762" s="1" t="n">
        <v>45791.5541087963</v>
      </c>
      <c r="C14762" s="1" t="n">
        <v>46011</v>
      </c>
      <c r="D14762" t="inlineStr">
        <is>
          <t>VÄSTRA GÖTALANDS LÄN</t>
        </is>
      </c>
      <c r="E14762" t="inlineStr">
        <is>
          <t>ULRICEHAMN</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23301-2025</t>
        </is>
      </c>
      <c r="B14763" s="1" t="n">
        <v>45791.59498842592</v>
      </c>
      <c r="C14763" s="1" t="n">
        <v>46011</v>
      </c>
      <c r="D14763" t="inlineStr">
        <is>
          <t>VÄSTRA GÖTALANDS LÄN</t>
        </is>
      </c>
      <c r="E14763" t="inlineStr">
        <is>
          <t>TJÖRN</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35361-2024</t>
        </is>
      </c>
      <c r="B14764" s="1" t="n">
        <v>45531.33550925926</v>
      </c>
      <c r="C14764" s="1" t="n">
        <v>46011</v>
      </c>
      <c r="D14764" t="inlineStr">
        <is>
          <t>VÄSTRA GÖTALANDS LÄN</t>
        </is>
      </c>
      <c r="E14764" t="inlineStr">
        <is>
          <t>TIDAHOLM</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25713-2023</t>
        </is>
      </c>
      <c r="B14765" s="1" t="n">
        <v>45090</v>
      </c>
      <c r="C14765" s="1" t="n">
        <v>46011</v>
      </c>
      <c r="D14765" t="inlineStr">
        <is>
          <t>VÄSTRA GÖTALANDS LÄN</t>
        </is>
      </c>
      <c r="E14765" t="inlineStr">
        <is>
          <t>FALKÖPING</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8888-2025</t>
        </is>
      </c>
      <c r="B14766" s="1" t="n">
        <v>45713.39502314815</v>
      </c>
      <c r="C14766" s="1" t="n">
        <v>46011</v>
      </c>
      <c r="D14766" t="inlineStr">
        <is>
          <t>VÄSTRA GÖTALANDS LÄN</t>
        </is>
      </c>
      <c r="E14766" t="inlineStr">
        <is>
          <t>DALS-ED</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8943-2025</t>
        </is>
      </c>
      <c r="B14767" s="1" t="n">
        <v>45713.45105324074</v>
      </c>
      <c r="C14767" s="1" t="n">
        <v>46011</v>
      </c>
      <c r="D14767" t="inlineStr">
        <is>
          <t>VÄSTRA GÖTALANDS LÄN</t>
        </is>
      </c>
      <c r="E14767" t="inlineStr">
        <is>
          <t>KUNGÄLV</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13008-2025</t>
        </is>
      </c>
      <c r="B14768" s="1" t="n">
        <v>45734.51854166666</v>
      </c>
      <c r="C14768" s="1" t="n">
        <v>46011</v>
      </c>
      <c r="D14768" t="inlineStr">
        <is>
          <t>VÄSTRA GÖTALANDS LÄN</t>
        </is>
      </c>
      <c r="E14768" t="inlineStr">
        <is>
          <t>KARLSBORG</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13116-2025</t>
        </is>
      </c>
      <c r="B14769" s="1" t="n">
        <v>45734.71525462963</v>
      </c>
      <c r="C14769" s="1" t="n">
        <v>46011</v>
      </c>
      <c r="D14769" t="inlineStr">
        <is>
          <t>VÄSTRA GÖTALANDS LÄN</t>
        </is>
      </c>
      <c r="E14769" t="inlineStr">
        <is>
          <t>STENUNGSUND</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8953-2025</t>
        </is>
      </c>
      <c r="B14770" s="1" t="n">
        <v>45713.46289351852</v>
      </c>
      <c r="C14770" s="1" t="n">
        <v>46011</v>
      </c>
      <c r="D14770" t="inlineStr">
        <is>
          <t>VÄSTRA GÖTALANDS LÄN</t>
        </is>
      </c>
      <c r="E14770" t="inlineStr">
        <is>
          <t>GULLSPÅNG</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9123-2025</t>
        </is>
      </c>
      <c r="B14771" s="1" t="n">
        <v>45713.87643518519</v>
      </c>
      <c r="C14771" s="1" t="n">
        <v>46011</v>
      </c>
      <c r="D14771" t="inlineStr">
        <is>
          <t>VÄSTRA GÖTALANDS LÄN</t>
        </is>
      </c>
      <c r="E14771" t="inlineStr">
        <is>
          <t>ÅMÅL</t>
        </is>
      </c>
      <c r="F14771" t="inlineStr">
        <is>
          <t>Kommuner</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35496-2024</t>
        </is>
      </c>
      <c r="B14772" s="1" t="n">
        <v>45531.51025462963</v>
      </c>
      <c r="C14772" s="1" t="n">
        <v>46011</v>
      </c>
      <c r="D14772" t="inlineStr">
        <is>
          <t>VÄSTRA GÖTALANDS LÄN</t>
        </is>
      </c>
      <c r="E14772" t="inlineStr">
        <is>
          <t>SVENLJUNGA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23659-2025</t>
        </is>
      </c>
      <c r="B14773" s="1" t="n">
        <v>45792</v>
      </c>
      <c r="C14773" s="1" t="n">
        <v>46011</v>
      </c>
      <c r="D14773" t="inlineStr">
        <is>
          <t>VÄSTRA GÖTALANDS LÄN</t>
        </is>
      </c>
      <c r="E14773" t="inlineStr">
        <is>
          <t>BENGTSFORS</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23115-2025</t>
        </is>
      </c>
      <c r="B14774" s="1" t="n">
        <v>45791.36958333333</v>
      </c>
      <c r="C14774" s="1" t="n">
        <v>46011</v>
      </c>
      <c r="D14774" t="inlineStr">
        <is>
          <t>VÄSTRA GÖTALANDS LÄN</t>
        </is>
      </c>
      <c r="E14774" t="inlineStr">
        <is>
          <t>TANUM</t>
        </is>
      </c>
      <c r="G14774" t="n">
        <v>12.2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11445-2025</t>
        </is>
      </c>
      <c r="B14775" s="1" t="n">
        <v>45726.63133101852</v>
      </c>
      <c r="C14775" s="1" t="n">
        <v>46011</v>
      </c>
      <c r="D14775" t="inlineStr">
        <is>
          <t>VÄSTRA GÖTALANDS LÄN</t>
        </is>
      </c>
      <c r="E14775" t="inlineStr">
        <is>
          <t>BORÅS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11237-2025</t>
        </is>
      </c>
      <c r="B14776" s="1" t="n">
        <v>45726.36668981481</v>
      </c>
      <c r="C14776" s="1" t="n">
        <v>46011</v>
      </c>
      <c r="D14776" t="inlineStr">
        <is>
          <t>VÄSTRA GÖTALANDS LÄN</t>
        </is>
      </c>
      <c r="E14776" t="inlineStr">
        <is>
          <t>KUNGÄLV</t>
        </is>
      </c>
      <c r="G14776" t="n">
        <v>4.2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14887-2025</t>
        </is>
      </c>
      <c r="B14777" s="1" t="n">
        <v>45743.46834490741</v>
      </c>
      <c r="C14777" s="1" t="n">
        <v>46011</v>
      </c>
      <c r="D14777" t="inlineStr">
        <is>
          <t>VÄSTRA GÖTALANDS LÄN</t>
        </is>
      </c>
      <c r="E14777" t="inlineStr">
        <is>
          <t>MARIESTAD</t>
        </is>
      </c>
      <c r="G14777" t="n">
        <v>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17535-2025</t>
        </is>
      </c>
      <c r="B14778" s="1" t="n">
        <v>45757.59909722222</v>
      </c>
      <c r="C14778" s="1" t="n">
        <v>46011</v>
      </c>
      <c r="D14778" t="inlineStr">
        <is>
          <t>VÄSTRA GÖTALANDS LÄN</t>
        </is>
      </c>
      <c r="E14778" t="inlineStr">
        <is>
          <t>FALKÖPING</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49385-2023</t>
        </is>
      </c>
      <c r="B14779" s="1" t="n">
        <v>45211</v>
      </c>
      <c r="C14779" s="1" t="n">
        <v>46011</v>
      </c>
      <c r="D14779" t="inlineStr">
        <is>
          <t>VÄSTRA GÖTALANDS LÄN</t>
        </is>
      </c>
      <c r="E14779" t="inlineStr">
        <is>
          <t>MARIESTAD</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23243-2025</t>
        </is>
      </c>
      <c r="B14780" s="1" t="n">
        <v>45791.5030787037</v>
      </c>
      <c r="C14780" s="1" t="n">
        <v>46011</v>
      </c>
      <c r="D14780" t="inlineStr">
        <is>
          <t>VÄSTRA GÖTALANDS LÄN</t>
        </is>
      </c>
      <c r="E14780" t="inlineStr">
        <is>
          <t>MARK</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14896-2025</t>
        </is>
      </c>
      <c r="B14781" s="1" t="n">
        <v>45743.47895833333</v>
      </c>
      <c r="C14781" s="1" t="n">
        <v>46011</v>
      </c>
      <c r="D14781" t="inlineStr">
        <is>
          <t>VÄSTRA GÖTALANDS LÄN</t>
        </is>
      </c>
      <c r="E14781" t="inlineStr">
        <is>
          <t>GULLSPÅNG</t>
        </is>
      </c>
      <c r="F14781" t="inlineStr">
        <is>
          <t>Kyrkan</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23546-2025</t>
        </is>
      </c>
      <c r="B14782" s="1" t="n">
        <v>45792</v>
      </c>
      <c r="C14782" s="1" t="n">
        <v>46011</v>
      </c>
      <c r="D14782" t="inlineStr">
        <is>
          <t>VÄSTRA GÖTALANDS LÄN</t>
        </is>
      </c>
      <c r="E14782" t="inlineStr">
        <is>
          <t>BENGTSFORS</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23258-2025</t>
        </is>
      </c>
      <c r="B14783" s="1" t="n">
        <v>45791.53902777778</v>
      </c>
      <c r="C14783" s="1" t="n">
        <v>46011</v>
      </c>
      <c r="D14783" t="inlineStr">
        <is>
          <t>VÄSTRA GÖTALANDS LÄN</t>
        </is>
      </c>
      <c r="E14783" t="inlineStr">
        <is>
          <t>ORUST</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23348-2025</t>
        </is>
      </c>
      <c r="B14784" s="1" t="n">
        <v>45791.65950231482</v>
      </c>
      <c r="C14784" s="1" t="n">
        <v>46011</v>
      </c>
      <c r="D14784" t="inlineStr">
        <is>
          <t>VÄSTRA GÖTALANDS LÄN</t>
        </is>
      </c>
      <c r="E14784" t="inlineStr">
        <is>
          <t>SVENLJUNGA</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13686-2025</t>
        </is>
      </c>
      <c r="B14785" s="1" t="n">
        <v>45737.31084490741</v>
      </c>
      <c r="C14785" s="1" t="n">
        <v>46011</v>
      </c>
      <c r="D14785" t="inlineStr">
        <is>
          <t>VÄSTRA GÖTALANDS LÄN</t>
        </is>
      </c>
      <c r="E14785" t="inlineStr">
        <is>
          <t>DALS-ED</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66772-2021</t>
        </is>
      </c>
      <c r="B14786" s="1" t="n">
        <v>44521</v>
      </c>
      <c r="C14786" s="1" t="n">
        <v>46011</v>
      </c>
      <c r="D14786" t="inlineStr">
        <is>
          <t>VÄSTRA GÖTALANDS LÄN</t>
        </is>
      </c>
      <c r="E14786" t="inlineStr">
        <is>
          <t>MARIESTAD</t>
        </is>
      </c>
      <c r="G14786" t="n">
        <v>0.3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8954-2025</t>
        </is>
      </c>
      <c r="B14787" s="1" t="n">
        <v>45713.46517361111</v>
      </c>
      <c r="C14787" s="1" t="n">
        <v>46011</v>
      </c>
      <c r="D14787" t="inlineStr">
        <is>
          <t>VÄSTRA GÖTALANDS LÄN</t>
        </is>
      </c>
      <c r="E14787" t="inlineStr">
        <is>
          <t>GULLSPÅNG</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8466-2025</t>
        </is>
      </c>
      <c r="B14788" s="1" t="n">
        <v>45709.46944444445</v>
      </c>
      <c r="C14788" s="1" t="n">
        <v>46011</v>
      </c>
      <c r="D14788" t="inlineStr">
        <is>
          <t>VÄSTRA GÖTALANDS LÄN</t>
        </is>
      </c>
      <c r="E14788" t="inlineStr">
        <is>
          <t>MARIESTAD</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8667-2025</t>
        </is>
      </c>
      <c r="B14789" s="1" t="n">
        <v>45712.41157407407</v>
      </c>
      <c r="C14789" s="1" t="n">
        <v>46011</v>
      </c>
      <c r="D14789" t="inlineStr">
        <is>
          <t>VÄSTRA GÖTALANDS LÄN</t>
        </is>
      </c>
      <c r="E14789" t="inlineStr">
        <is>
          <t>MELLERUD</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14924-2025</t>
        </is>
      </c>
      <c r="B14790" s="1" t="n">
        <v>45743.55011574074</v>
      </c>
      <c r="C14790" s="1" t="n">
        <v>46011</v>
      </c>
      <c r="D14790" t="inlineStr">
        <is>
          <t>VÄSTRA GÖTALANDS LÄN</t>
        </is>
      </c>
      <c r="E14790" t="inlineStr">
        <is>
          <t>DALS-ED</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42605-2024</t>
        </is>
      </c>
      <c r="B14791" s="1" t="n">
        <v>45565.72832175926</v>
      </c>
      <c r="C14791" s="1" t="n">
        <v>46011</v>
      </c>
      <c r="D14791" t="inlineStr">
        <is>
          <t>VÄSTRA GÖTALANDS LÄN</t>
        </is>
      </c>
      <c r="E14791" t="inlineStr">
        <is>
          <t>VÄNERSBORG</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12010-2025</t>
        </is>
      </c>
      <c r="B14792" s="1" t="n">
        <v>45728.61689814815</v>
      </c>
      <c r="C14792" s="1" t="n">
        <v>46011</v>
      </c>
      <c r="D14792" t="inlineStr">
        <is>
          <t>VÄSTRA GÖTALANDS LÄN</t>
        </is>
      </c>
      <c r="E14792" t="inlineStr">
        <is>
          <t>MARIESTAD</t>
        </is>
      </c>
      <c r="F14792" t="inlineStr">
        <is>
          <t>Sveaskog</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23375-2025</t>
        </is>
      </c>
      <c r="B14793" s="1" t="n">
        <v>45791.78855324074</v>
      </c>
      <c r="C14793" s="1" t="n">
        <v>46011</v>
      </c>
      <c r="D14793" t="inlineStr">
        <is>
          <t>VÄSTRA GÖTALANDS LÄN</t>
        </is>
      </c>
      <c r="E14793" t="inlineStr">
        <is>
          <t>DALS-ED</t>
        </is>
      </c>
      <c r="F14793" t="inlineStr">
        <is>
          <t>Övriga Aktiebolag</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9285-2025</t>
        </is>
      </c>
      <c r="B14794" s="1" t="n">
        <v>45714.64899305555</v>
      </c>
      <c r="C14794" s="1" t="n">
        <v>46011</v>
      </c>
      <c r="D14794" t="inlineStr">
        <is>
          <t>VÄSTRA GÖTALANDS LÄN</t>
        </is>
      </c>
      <c r="E14794" t="inlineStr">
        <is>
          <t>FÄRGELANDA</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10059-2025</t>
        </is>
      </c>
      <c r="B14795" s="1" t="n">
        <v>45719.5325</v>
      </c>
      <c r="C14795" s="1" t="n">
        <v>46011</v>
      </c>
      <c r="D14795" t="inlineStr">
        <is>
          <t>VÄSTRA GÖTALANDS LÄN</t>
        </is>
      </c>
      <c r="E14795" t="inlineStr">
        <is>
          <t>TANUM</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11049-2025</t>
        </is>
      </c>
      <c r="B14796" s="1" t="n">
        <v>45723.49395833333</v>
      </c>
      <c r="C14796" s="1" t="n">
        <v>46011</v>
      </c>
      <c r="D14796" t="inlineStr">
        <is>
          <t>VÄSTRA GÖTALANDS LÄN</t>
        </is>
      </c>
      <c r="E14796" t="inlineStr">
        <is>
          <t>BENGTSFORS</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23240-2025</t>
        </is>
      </c>
      <c r="B14797" s="1" t="n">
        <v>45791.49888888889</v>
      </c>
      <c r="C14797" s="1" t="n">
        <v>46011</v>
      </c>
      <c r="D14797" t="inlineStr">
        <is>
          <t>VÄSTRA GÖTALANDS LÄN</t>
        </is>
      </c>
      <c r="E14797" t="inlineStr">
        <is>
          <t>ÅMÅL</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8450-2025</t>
        </is>
      </c>
      <c r="B14798" s="1" t="n">
        <v>45709.45519675926</v>
      </c>
      <c r="C14798" s="1" t="n">
        <v>46011</v>
      </c>
      <c r="D14798" t="inlineStr">
        <is>
          <t>VÄSTRA GÖTALANDS LÄN</t>
        </is>
      </c>
      <c r="E14798" t="inlineStr">
        <is>
          <t>TIBRO</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8470-2025</t>
        </is>
      </c>
      <c r="B14799" s="1" t="n">
        <v>45709</v>
      </c>
      <c r="C14799" s="1" t="n">
        <v>46011</v>
      </c>
      <c r="D14799" t="inlineStr">
        <is>
          <t>VÄSTRA GÖTALANDS LÄN</t>
        </is>
      </c>
      <c r="E14799" t="inlineStr">
        <is>
          <t>ÅMÅL</t>
        </is>
      </c>
      <c r="F14799" t="inlineStr">
        <is>
          <t>Bergvik skog väst AB</t>
        </is>
      </c>
      <c r="G14799" t="n">
        <v>6.8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9695-2025</t>
        </is>
      </c>
      <c r="B14800" s="1" t="n">
        <v>45716.37232638889</v>
      </c>
      <c r="C14800" s="1" t="n">
        <v>46011</v>
      </c>
      <c r="D14800" t="inlineStr">
        <is>
          <t>VÄSTRA GÖTALANDS LÄN</t>
        </is>
      </c>
      <c r="E14800" t="inlineStr">
        <is>
          <t>STRÖMSTAD</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31142-2024</t>
        </is>
      </c>
      <c r="B14801" s="1" t="n">
        <v>45502.71954861111</v>
      </c>
      <c r="C14801" s="1" t="n">
        <v>46011</v>
      </c>
      <c r="D14801" t="inlineStr">
        <is>
          <t>VÄSTRA GÖTALANDS LÄN</t>
        </is>
      </c>
      <c r="E14801" t="inlineStr">
        <is>
          <t>MARIESTAD</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23509-2025</t>
        </is>
      </c>
      <c r="B14802" s="1" t="n">
        <v>45792.49081018518</v>
      </c>
      <c r="C14802" s="1" t="n">
        <v>46011</v>
      </c>
      <c r="D14802" t="inlineStr">
        <is>
          <t>VÄSTRA GÖTALANDS LÄN</t>
        </is>
      </c>
      <c r="E14802" t="inlineStr">
        <is>
          <t>LILLA EDET</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60993-2022</t>
        </is>
      </c>
      <c r="B14803" s="1" t="n">
        <v>44914</v>
      </c>
      <c r="C14803" s="1" t="n">
        <v>46011</v>
      </c>
      <c r="D14803" t="inlineStr">
        <is>
          <t>VÄSTRA GÖTALANDS LÄN</t>
        </is>
      </c>
      <c r="E14803" t="inlineStr">
        <is>
          <t>MELLERUD</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16341-2025</t>
        </is>
      </c>
      <c r="B14804" s="1" t="n">
        <v>45751</v>
      </c>
      <c r="C14804" s="1" t="n">
        <v>46011</v>
      </c>
      <c r="D14804" t="inlineStr">
        <is>
          <t>VÄSTRA GÖTALANDS LÄN</t>
        </is>
      </c>
      <c r="E14804" t="inlineStr">
        <is>
          <t>GÖTENE</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22605-2025</t>
        </is>
      </c>
      <c r="B14805" s="1" t="n">
        <v>45789</v>
      </c>
      <c r="C14805" s="1" t="n">
        <v>46011</v>
      </c>
      <c r="D14805" t="inlineStr">
        <is>
          <t>VÄSTRA GÖTALANDS LÄN</t>
        </is>
      </c>
      <c r="E14805" t="inlineStr">
        <is>
          <t>LYSEKIL</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7023-2025</t>
        </is>
      </c>
      <c r="B14806" s="1" t="n">
        <v>45701</v>
      </c>
      <c r="C14806" s="1" t="n">
        <v>46011</v>
      </c>
      <c r="D14806" t="inlineStr">
        <is>
          <t>VÄSTRA GÖTALANDS LÄN</t>
        </is>
      </c>
      <c r="E14806" t="inlineStr">
        <is>
          <t>FALKÖPING</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12954-2025</t>
        </is>
      </c>
      <c r="B14807" s="1" t="n">
        <v>45734.40412037037</v>
      </c>
      <c r="C14807" s="1" t="n">
        <v>46011</v>
      </c>
      <c r="D14807" t="inlineStr">
        <is>
          <t>VÄSTRA GÖTALANDS LÄN</t>
        </is>
      </c>
      <c r="E14807" t="inlineStr">
        <is>
          <t>TIBRO</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14066-2025</t>
        </is>
      </c>
      <c r="B14808" s="1" t="n">
        <v>45740.41792824074</v>
      </c>
      <c r="C14808" s="1" t="n">
        <v>46011</v>
      </c>
      <c r="D14808" t="inlineStr">
        <is>
          <t>VÄSTRA GÖTALANDS LÄN</t>
        </is>
      </c>
      <c r="E14808" t="inlineStr">
        <is>
          <t>UDDEVALLA</t>
        </is>
      </c>
      <c r="G14808" t="n">
        <v>7.5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14079-2025</t>
        </is>
      </c>
      <c r="B14809" s="1" t="n">
        <v>45739</v>
      </c>
      <c r="C14809" s="1" t="n">
        <v>46011</v>
      </c>
      <c r="D14809" t="inlineStr">
        <is>
          <t>VÄSTRA GÖTALANDS LÄN</t>
        </is>
      </c>
      <c r="E14809" t="inlineStr">
        <is>
          <t>STRÖMSTAD</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14108-2025</t>
        </is>
      </c>
      <c r="B14810" s="1" t="n">
        <v>45740.45753472222</v>
      </c>
      <c r="C14810" s="1" t="n">
        <v>46011</v>
      </c>
      <c r="D14810" t="inlineStr">
        <is>
          <t>VÄSTRA GÖTALANDS LÄN</t>
        </is>
      </c>
      <c r="E14810" t="inlineStr">
        <is>
          <t>FALKÖPING</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14141-2025</t>
        </is>
      </c>
      <c r="B14811" s="1" t="n">
        <v>45740.484375</v>
      </c>
      <c r="C14811" s="1" t="n">
        <v>46011</v>
      </c>
      <c r="D14811" t="inlineStr">
        <is>
          <t>VÄSTRA GÖTALANDS LÄN</t>
        </is>
      </c>
      <c r="E14811" t="inlineStr">
        <is>
          <t>ESSUNGA</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23584-2025</t>
        </is>
      </c>
      <c r="B14812" s="1" t="n">
        <v>45792.63148148148</v>
      </c>
      <c r="C14812" s="1" t="n">
        <v>46011</v>
      </c>
      <c r="D14812" t="inlineStr">
        <is>
          <t>VÄSTRA GÖTALANDS LÄN</t>
        </is>
      </c>
      <c r="E14812" t="inlineStr">
        <is>
          <t>BENGTSFORS</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12003-2025</t>
        </is>
      </c>
      <c r="B14813" s="1" t="n">
        <v>45728.61486111111</v>
      </c>
      <c r="C14813" s="1" t="n">
        <v>46011</v>
      </c>
      <c r="D14813" t="inlineStr">
        <is>
          <t>VÄSTRA GÖTALANDS LÄN</t>
        </is>
      </c>
      <c r="E14813" t="inlineStr">
        <is>
          <t>MARIESTAD</t>
        </is>
      </c>
      <c r="F14813" t="inlineStr">
        <is>
          <t>Sveaskog</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14327-2025</t>
        </is>
      </c>
      <c r="B14814" s="1" t="n">
        <v>45740.82553240741</v>
      </c>
      <c r="C14814" s="1" t="n">
        <v>46011</v>
      </c>
      <c r="D14814" t="inlineStr">
        <is>
          <t>VÄSTRA GÖTALANDS LÄN</t>
        </is>
      </c>
      <c r="E14814" t="inlineStr">
        <is>
          <t>MUNKEDAL</t>
        </is>
      </c>
      <c r="G14814" t="n">
        <v>12.7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14338-2025</t>
        </is>
      </c>
      <c r="B14815" s="1" t="n">
        <v>45740.94930555556</v>
      </c>
      <c r="C14815" s="1" t="n">
        <v>46011</v>
      </c>
      <c r="D14815" t="inlineStr">
        <is>
          <t>VÄSTRA GÖTALANDS LÄN</t>
        </is>
      </c>
      <c r="E14815" t="inlineStr">
        <is>
          <t>FALKÖPING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23470-2025</t>
        </is>
      </c>
      <c r="B14816" s="1" t="n">
        <v>45792.44034722223</v>
      </c>
      <c r="C14816" s="1" t="n">
        <v>46011</v>
      </c>
      <c r="D14816" t="inlineStr">
        <is>
          <t>VÄSTRA GÖTALANDS LÄN</t>
        </is>
      </c>
      <c r="E14816" t="inlineStr">
        <is>
          <t>BENGTSFORS</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23487-2025</t>
        </is>
      </c>
      <c r="B14817" s="1" t="n">
        <v>45792.4653587963</v>
      </c>
      <c r="C14817" s="1" t="n">
        <v>46011</v>
      </c>
      <c r="D14817" t="inlineStr">
        <is>
          <t>VÄSTRA GÖTALANDS LÄN</t>
        </is>
      </c>
      <c r="E14817" t="inlineStr">
        <is>
          <t>SKÖVDE</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32537-2024</t>
        </is>
      </c>
      <c r="B14818" s="1" t="n">
        <v>45513</v>
      </c>
      <c r="C14818" s="1" t="n">
        <v>46011</v>
      </c>
      <c r="D14818" t="inlineStr">
        <is>
          <t>VÄSTRA GÖTALANDS LÄN</t>
        </is>
      </c>
      <c r="E14818" t="inlineStr">
        <is>
          <t>TROLLHÄTTAN</t>
        </is>
      </c>
      <c r="F14818" t="inlineStr">
        <is>
          <t>Kyrkan</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14331-2025</t>
        </is>
      </c>
      <c r="B14819" s="1" t="n">
        <v>45740.89940972222</v>
      </c>
      <c r="C14819" s="1" t="n">
        <v>46011</v>
      </c>
      <c r="D14819" t="inlineStr">
        <is>
          <t>VÄSTRA GÖTALANDS LÄN</t>
        </is>
      </c>
      <c r="E14819" t="inlineStr">
        <is>
          <t>TIDAHOLM</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15077-2025</t>
        </is>
      </c>
      <c r="B14820" s="1" t="n">
        <v>45743.81966435185</v>
      </c>
      <c r="C14820" s="1" t="n">
        <v>46011</v>
      </c>
      <c r="D14820" t="inlineStr">
        <is>
          <t>VÄSTRA GÖTALANDS LÄN</t>
        </is>
      </c>
      <c r="E14820" t="inlineStr">
        <is>
          <t>FÄRGELANDA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34984-2023</t>
        </is>
      </c>
      <c r="B14821" s="1" t="n">
        <v>45142</v>
      </c>
      <c r="C14821" s="1" t="n">
        <v>46011</v>
      </c>
      <c r="D14821" t="inlineStr">
        <is>
          <t>VÄSTRA GÖTALANDS LÄN</t>
        </is>
      </c>
      <c r="E14821" t="inlineStr">
        <is>
          <t>BORÅS</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10976-2025</t>
        </is>
      </c>
      <c r="B14822" s="1" t="n">
        <v>45723.39030092592</v>
      </c>
      <c r="C14822" s="1" t="n">
        <v>46011</v>
      </c>
      <c r="D14822" t="inlineStr">
        <is>
          <t>VÄSTRA GÖTALANDS LÄN</t>
        </is>
      </c>
      <c r="E14822" t="inlineStr">
        <is>
          <t>DALS-ED</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23426-2025</t>
        </is>
      </c>
      <c r="B14823" s="1" t="n">
        <v>45792.3609375</v>
      </c>
      <c r="C14823" s="1" t="n">
        <v>46011</v>
      </c>
      <c r="D14823" t="inlineStr">
        <is>
          <t>VÄSTRA GÖTALANDS LÄN</t>
        </is>
      </c>
      <c r="E14823" t="inlineStr">
        <is>
          <t>MELLERUD</t>
        </is>
      </c>
      <c r="G14823" t="n">
        <v>7.3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10965-2025</t>
        </is>
      </c>
      <c r="B14824" s="1" t="n">
        <v>45723.38274305555</v>
      </c>
      <c r="C14824" s="1" t="n">
        <v>46011</v>
      </c>
      <c r="D14824" t="inlineStr">
        <is>
          <t>VÄSTRA GÖTALANDS LÄN</t>
        </is>
      </c>
      <c r="E14824" t="inlineStr">
        <is>
          <t>DALS-ED</t>
        </is>
      </c>
      <c r="G14824" t="n">
        <v>13.8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23636-2025</t>
        </is>
      </c>
      <c r="B14825" s="1" t="n">
        <v>45792.67938657408</v>
      </c>
      <c r="C14825" s="1" t="n">
        <v>46011</v>
      </c>
      <c r="D14825" t="inlineStr">
        <is>
          <t>VÄSTRA GÖTALANDS LÄN</t>
        </is>
      </c>
      <c r="E14825" t="inlineStr">
        <is>
          <t>DALS-ED</t>
        </is>
      </c>
      <c r="G14825" t="n">
        <v>4.3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23532-2025</t>
        </is>
      </c>
      <c r="B14826" s="1" t="n">
        <v>45792.53560185185</v>
      </c>
      <c r="C14826" s="1" t="n">
        <v>46011</v>
      </c>
      <c r="D14826" t="inlineStr">
        <is>
          <t>VÄSTRA GÖTALANDS LÄN</t>
        </is>
      </c>
      <c r="E14826" t="inlineStr">
        <is>
          <t>ALINGSÅS</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23322-2025</t>
        </is>
      </c>
      <c r="B14827" s="1" t="n">
        <v>45791.61649305555</v>
      </c>
      <c r="C14827" s="1" t="n">
        <v>46011</v>
      </c>
      <c r="D14827" t="inlineStr">
        <is>
          <t>VÄSTRA GÖTALANDS LÄN</t>
        </is>
      </c>
      <c r="E14827" t="inlineStr">
        <is>
          <t>UDDEVALLA</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23349-2025</t>
        </is>
      </c>
      <c r="B14828" s="1" t="n">
        <v>45791.66050925926</v>
      </c>
      <c r="C14828" s="1" t="n">
        <v>46011</v>
      </c>
      <c r="D14828" t="inlineStr">
        <is>
          <t>VÄSTRA GÖTALANDS LÄN</t>
        </is>
      </c>
      <c r="E14828" t="inlineStr">
        <is>
          <t>SVENLJUNGA</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9653-2025</t>
        </is>
      </c>
      <c r="B14829" s="1" t="n">
        <v>45716.26827546296</v>
      </c>
      <c r="C14829" s="1" t="n">
        <v>46011</v>
      </c>
      <c r="D14829" t="inlineStr">
        <is>
          <t>VÄSTRA GÖTALANDS LÄN</t>
        </is>
      </c>
      <c r="E14829" t="inlineStr">
        <is>
          <t>MARIESTAD</t>
        </is>
      </c>
      <c r="F14829" t="inlineStr">
        <is>
          <t>Sveaskog</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13690-2025</t>
        </is>
      </c>
      <c r="B14830" s="1" t="n">
        <v>45737.31587962963</v>
      </c>
      <c r="C14830" s="1" t="n">
        <v>46011</v>
      </c>
      <c r="D14830" t="inlineStr">
        <is>
          <t>VÄSTRA GÖTALANDS LÄN</t>
        </is>
      </c>
      <c r="E14830" t="inlineStr">
        <is>
          <t>DALS-ED</t>
        </is>
      </c>
      <c r="F14830" t="inlineStr">
        <is>
          <t>Övriga Aktiebolag</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12533-2025</t>
        </is>
      </c>
      <c r="B14831" s="1" t="n">
        <v>45730.69164351852</v>
      </c>
      <c r="C14831" s="1" t="n">
        <v>46011</v>
      </c>
      <c r="D14831" t="inlineStr">
        <is>
          <t>VÄSTRA GÖTALANDS LÄN</t>
        </is>
      </c>
      <c r="E14831" t="inlineStr">
        <is>
          <t>FÄRGELANDA</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54578-2023</t>
        </is>
      </c>
      <c r="B14832" s="1" t="n">
        <v>45233</v>
      </c>
      <c r="C14832" s="1" t="n">
        <v>46011</v>
      </c>
      <c r="D14832" t="inlineStr">
        <is>
          <t>VÄSTRA GÖTALANDS LÄN</t>
        </is>
      </c>
      <c r="E14832" t="inlineStr">
        <is>
          <t>FALKÖPING</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9975-2025</t>
        </is>
      </c>
      <c r="B14833" s="1" t="n">
        <v>45719.39439814815</v>
      </c>
      <c r="C14833" s="1" t="n">
        <v>46011</v>
      </c>
      <c r="D14833" t="inlineStr">
        <is>
          <t>VÄSTRA GÖTALANDS LÄN</t>
        </is>
      </c>
      <c r="E14833" t="inlineStr">
        <is>
          <t>DALS-ED</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8875-2025</t>
        </is>
      </c>
      <c r="B14834" s="1" t="n">
        <v>45713.37586805555</v>
      </c>
      <c r="C14834" s="1" t="n">
        <v>46011</v>
      </c>
      <c r="D14834" t="inlineStr">
        <is>
          <t>VÄSTRA GÖTALANDS LÄN</t>
        </is>
      </c>
      <c r="E14834" t="inlineStr">
        <is>
          <t>DALS-ED</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13521-2025</t>
        </is>
      </c>
      <c r="B14835" s="1" t="n">
        <v>45736.48755787037</v>
      </c>
      <c r="C14835" s="1" t="n">
        <v>46011</v>
      </c>
      <c r="D14835" t="inlineStr">
        <is>
          <t>VÄSTRA GÖTALANDS LÄN</t>
        </is>
      </c>
      <c r="E14835" t="inlineStr">
        <is>
          <t>ORUST</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13536-2025</t>
        </is>
      </c>
      <c r="B14836" s="1" t="n">
        <v>45736.51413194444</v>
      </c>
      <c r="C14836" s="1" t="n">
        <v>46011</v>
      </c>
      <c r="D14836" t="inlineStr">
        <is>
          <t>VÄSTRA GÖTALANDS LÄN</t>
        </is>
      </c>
      <c r="E14836" t="inlineStr">
        <is>
          <t>ORUST</t>
        </is>
      </c>
      <c r="G14836" t="n">
        <v>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13666-2025</t>
        </is>
      </c>
      <c r="B14837" s="1" t="n">
        <v>45736.8315162037</v>
      </c>
      <c r="C14837" s="1" t="n">
        <v>46011</v>
      </c>
      <c r="D14837" t="inlineStr">
        <is>
          <t>VÄSTRA GÖTALANDS LÄN</t>
        </is>
      </c>
      <c r="E14837" t="inlineStr">
        <is>
          <t>VÄNERSBORG</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13674-2025</t>
        </is>
      </c>
      <c r="B14838" s="1" t="n">
        <v>45736.9021875</v>
      </c>
      <c r="C14838" s="1" t="n">
        <v>46011</v>
      </c>
      <c r="D14838" t="inlineStr">
        <is>
          <t>VÄSTRA GÖTALANDS LÄN</t>
        </is>
      </c>
      <c r="E14838" t="inlineStr">
        <is>
          <t>VÄNERSBORG</t>
        </is>
      </c>
      <c r="G14838" t="n">
        <v>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64022-2023</t>
        </is>
      </c>
      <c r="B14839" s="1" t="n">
        <v>45278</v>
      </c>
      <c r="C14839" s="1" t="n">
        <v>46011</v>
      </c>
      <c r="D14839" t="inlineStr">
        <is>
          <t>VÄSTRA GÖTALANDS LÄN</t>
        </is>
      </c>
      <c r="E14839" t="inlineStr">
        <is>
          <t>FALKÖPING</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53805-2024</t>
        </is>
      </c>
      <c r="B14840" s="1" t="n">
        <v>45615</v>
      </c>
      <c r="C14840" s="1" t="n">
        <v>46011</v>
      </c>
      <c r="D14840" t="inlineStr">
        <is>
          <t>VÄSTRA GÖTALANDS LÄN</t>
        </is>
      </c>
      <c r="E14840" t="inlineStr">
        <is>
          <t>LIDKÖPING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16650-2024</t>
        </is>
      </c>
      <c r="B14841" s="1" t="n">
        <v>45408</v>
      </c>
      <c r="C14841" s="1" t="n">
        <v>46011</v>
      </c>
      <c r="D14841" t="inlineStr">
        <is>
          <t>VÄSTRA GÖTALANDS LÄN</t>
        </is>
      </c>
      <c r="E14841" t="inlineStr">
        <is>
          <t>MUNKEDAL</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21421-2021</t>
        </is>
      </c>
      <c r="B14842" s="1" t="n">
        <v>44316</v>
      </c>
      <c r="C14842" s="1" t="n">
        <v>46011</v>
      </c>
      <c r="D14842" t="inlineStr">
        <is>
          <t>VÄSTRA GÖTALANDS LÄN</t>
        </is>
      </c>
      <c r="E14842" t="inlineStr">
        <is>
          <t>SOTENÄS</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22548-2025</t>
        </is>
      </c>
      <c r="B14843" s="1" t="n">
        <v>45788</v>
      </c>
      <c r="C14843" s="1" t="n">
        <v>46011</v>
      </c>
      <c r="D14843" t="inlineStr">
        <is>
          <t>VÄSTRA GÖTALANDS LÄN</t>
        </is>
      </c>
      <c r="E14843" t="inlineStr">
        <is>
          <t>BENGTSFORS</t>
        </is>
      </c>
      <c r="G14843" t="n">
        <v>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23215-2025</t>
        </is>
      </c>
      <c r="B14844" s="1" t="n">
        <v>45791.47444444444</v>
      </c>
      <c r="C14844" s="1" t="n">
        <v>46011</v>
      </c>
      <c r="D14844" t="inlineStr">
        <is>
          <t>VÄSTRA GÖTALANDS LÄN</t>
        </is>
      </c>
      <c r="E14844" t="inlineStr">
        <is>
          <t>ÅMÅL</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9080-2025</t>
        </is>
      </c>
      <c r="B14845" s="1" t="n">
        <v>45713.66313657408</v>
      </c>
      <c r="C14845" s="1" t="n">
        <v>46011</v>
      </c>
      <c r="D14845" t="inlineStr">
        <is>
          <t>VÄSTRA GÖTALANDS LÄN</t>
        </is>
      </c>
      <c r="E14845" t="inlineStr">
        <is>
          <t>STENUNGSUND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23421-2025</t>
        </is>
      </c>
      <c r="B14846" s="1" t="n">
        <v>45792.35465277778</v>
      </c>
      <c r="C14846" s="1" t="n">
        <v>46011</v>
      </c>
      <c r="D14846" t="inlineStr">
        <is>
          <t>VÄSTRA GÖTALANDS LÄN</t>
        </is>
      </c>
      <c r="E14846" t="inlineStr">
        <is>
          <t>TRANEMO</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23422-2025</t>
        </is>
      </c>
      <c r="B14847" s="1" t="n">
        <v>45792.35853009259</v>
      </c>
      <c r="C14847" s="1" t="n">
        <v>46011</v>
      </c>
      <c r="D14847" t="inlineStr">
        <is>
          <t>VÄSTRA GÖTALANDS LÄN</t>
        </is>
      </c>
      <c r="E14847" t="inlineStr">
        <is>
          <t>MUNKEDAL</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23374-2025</t>
        </is>
      </c>
      <c r="B14848" s="1" t="n">
        <v>45791.77096064815</v>
      </c>
      <c r="C14848" s="1" t="n">
        <v>46011</v>
      </c>
      <c r="D14848" t="inlineStr">
        <is>
          <t>VÄSTRA GÖTALANDS LÄN</t>
        </is>
      </c>
      <c r="E14848" t="inlineStr">
        <is>
          <t>LILLA EDET</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23432-2025</t>
        </is>
      </c>
      <c r="B14849" s="1" t="n">
        <v>45792.36625</v>
      </c>
      <c r="C14849" s="1" t="n">
        <v>46011</v>
      </c>
      <c r="D14849" t="inlineStr">
        <is>
          <t>VÄSTRA GÖTALANDS LÄN</t>
        </is>
      </c>
      <c r="E14849" t="inlineStr">
        <is>
          <t>TRANEMO</t>
        </is>
      </c>
      <c r="G14849" t="n">
        <v>4.3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9868-2025</t>
        </is>
      </c>
      <c r="B14850" s="1" t="n">
        <v>45716.64101851852</v>
      </c>
      <c r="C14850" s="1" t="n">
        <v>46011</v>
      </c>
      <c r="D14850" t="inlineStr">
        <is>
          <t>VÄSTRA GÖTALANDS LÄN</t>
        </is>
      </c>
      <c r="E14850" t="inlineStr">
        <is>
          <t>MARIESTAD</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13079-2025</t>
        </is>
      </c>
      <c r="B14851" s="1" t="n">
        <v>45734.62342592593</v>
      </c>
      <c r="C14851" s="1" t="n">
        <v>46011</v>
      </c>
      <c r="D14851" t="inlineStr">
        <is>
          <t>VÄSTRA GÖTALANDS LÄN</t>
        </is>
      </c>
      <c r="E14851" t="inlineStr">
        <is>
          <t>MELLERUD</t>
        </is>
      </c>
      <c r="G14851" t="n">
        <v>3.8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13667-2025</t>
        </is>
      </c>
      <c r="B14852" s="1" t="n">
        <v>45736.84825231481</v>
      </c>
      <c r="C14852" s="1" t="n">
        <v>46011</v>
      </c>
      <c r="D14852" t="inlineStr">
        <is>
          <t>VÄSTRA GÖTALANDS LÄN</t>
        </is>
      </c>
      <c r="E14852" t="inlineStr">
        <is>
          <t>DALS-ED</t>
        </is>
      </c>
      <c r="F14852" t="inlineStr">
        <is>
          <t>Övriga Aktiebolag</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8606-2025</t>
        </is>
      </c>
      <c r="B14853" s="1" t="n">
        <v>45710.38600694444</v>
      </c>
      <c r="C14853" s="1" t="n">
        <v>46011</v>
      </c>
      <c r="D14853" t="inlineStr">
        <is>
          <t>VÄSTRA GÖTALANDS LÄN</t>
        </is>
      </c>
      <c r="E14853" t="inlineStr">
        <is>
          <t>SKÖVDE</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8616-2025</t>
        </is>
      </c>
      <c r="B14854" s="1" t="n">
        <v>45711.37755787037</v>
      </c>
      <c r="C14854" s="1" t="n">
        <v>46011</v>
      </c>
      <c r="D14854" t="inlineStr">
        <is>
          <t>VÄSTRA GÖTALANDS LÄN</t>
        </is>
      </c>
      <c r="E14854" t="inlineStr">
        <is>
          <t>TIDAHOLM</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13925-2025</t>
        </is>
      </c>
      <c r="B14855" s="1" t="n">
        <v>45737.66130787037</v>
      </c>
      <c r="C14855" s="1" t="n">
        <v>46011</v>
      </c>
      <c r="D14855" t="inlineStr">
        <is>
          <t>VÄSTRA GÖTALANDS LÄN</t>
        </is>
      </c>
      <c r="E14855" t="inlineStr">
        <is>
          <t>UDDEVALLA</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14048-2025</t>
        </is>
      </c>
      <c r="B14856" s="1" t="n">
        <v>45740.38252314815</v>
      </c>
      <c r="C14856" s="1" t="n">
        <v>46011</v>
      </c>
      <c r="D14856" t="inlineStr">
        <is>
          <t>VÄSTRA GÖTALANDS LÄN</t>
        </is>
      </c>
      <c r="E14856" t="inlineStr">
        <is>
          <t>FALKÖPING</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15078-2025</t>
        </is>
      </c>
      <c r="B14857" s="1" t="n">
        <v>45743.84284722222</v>
      </c>
      <c r="C14857" s="1" t="n">
        <v>46011</v>
      </c>
      <c r="D14857" t="inlineStr">
        <is>
          <t>VÄSTRA GÖTALANDS LÄN</t>
        </is>
      </c>
      <c r="E14857" t="inlineStr">
        <is>
          <t>KUNGÄLV</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10100-2025</t>
        </is>
      </c>
      <c r="B14858" s="1" t="n">
        <v>45719.57890046296</v>
      </c>
      <c r="C14858" s="1" t="n">
        <v>46011</v>
      </c>
      <c r="D14858" t="inlineStr">
        <is>
          <t>VÄSTRA GÖTALANDS LÄN</t>
        </is>
      </c>
      <c r="E14858" t="inlineStr">
        <is>
          <t>MELLERUD</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12760-2025</t>
        </is>
      </c>
      <c r="B14859" s="1" t="n">
        <v>45733.57016203704</v>
      </c>
      <c r="C14859" s="1" t="n">
        <v>46011</v>
      </c>
      <c r="D14859" t="inlineStr">
        <is>
          <t>VÄSTRA GÖTALANDS LÄN</t>
        </is>
      </c>
      <c r="E14859" t="inlineStr">
        <is>
          <t>VÄNERSBORG</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10359-2025</t>
        </is>
      </c>
      <c r="B14860" s="1" t="n">
        <v>45720.53413194444</v>
      </c>
      <c r="C14860" s="1" t="n">
        <v>46011</v>
      </c>
      <c r="D14860" t="inlineStr">
        <is>
          <t>VÄSTRA GÖTALANDS LÄN</t>
        </is>
      </c>
      <c r="E14860" t="inlineStr">
        <is>
          <t>FALKÖPING</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14909-2025</t>
        </is>
      </c>
      <c r="B14861" s="1" t="n">
        <v>45743.52303240741</v>
      </c>
      <c r="C14861" s="1" t="n">
        <v>46011</v>
      </c>
      <c r="D14861" t="inlineStr">
        <is>
          <t>VÄSTRA GÖTALANDS LÄN</t>
        </is>
      </c>
      <c r="E14861" t="inlineStr">
        <is>
          <t>DALS-ED</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14918-2025</t>
        </is>
      </c>
      <c r="B14862" s="1" t="n">
        <v>45743.53940972222</v>
      </c>
      <c r="C14862" s="1" t="n">
        <v>46011</v>
      </c>
      <c r="D14862" t="inlineStr">
        <is>
          <t>VÄSTRA GÖTALANDS LÄN</t>
        </is>
      </c>
      <c r="E14862" t="inlineStr">
        <is>
          <t>DALS-ED</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14965-2025</t>
        </is>
      </c>
      <c r="B14863" s="1" t="n">
        <v>45743.58711805556</v>
      </c>
      <c r="C14863" s="1" t="n">
        <v>46011</v>
      </c>
      <c r="D14863" t="inlineStr">
        <is>
          <t>VÄSTRA GÖTALANDS LÄN</t>
        </is>
      </c>
      <c r="E14863" t="inlineStr">
        <is>
          <t>TANUM</t>
        </is>
      </c>
      <c r="G14863" t="n">
        <v>5.2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14969-2025</t>
        </is>
      </c>
      <c r="B14864" s="1" t="n">
        <v>45743.5912962963</v>
      </c>
      <c r="C14864" s="1" t="n">
        <v>46011</v>
      </c>
      <c r="D14864" t="inlineStr">
        <is>
          <t>VÄSTRA GÖTALANDS LÄN</t>
        </is>
      </c>
      <c r="E14864" t="inlineStr">
        <is>
          <t>SKÖVDE</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10388-2025</t>
        </is>
      </c>
      <c r="B14865" s="1" t="n">
        <v>45720.59267361111</v>
      </c>
      <c r="C14865" s="1" t="n">
        <v>46011</v>
      </c>
      <c r="D14865" t="inlineStr">
        <is>
          <t>VÄSTRA GÖTALANDS LÄN</t>
        </is>
      </c>
      <c r="E14865" t="inlineStr">
        <is>
          <t>GULLSPÅNG</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10389-2025</t>
        </is>
      </c>
      <c r="B14866" s="1" t="n">
        <v>45720.59847222222</v>
      </c>
      <c r="C14866" s="1" t="n">
        <v>46011</v>
      </c>
      <c r="D14866" t="inlineStr">
        <is>
          <t>VÄSTRA GÖTALANDS LÄN</t>
        </is>
      </c>
      <c r="E14866" t="inlineStr">
        <is>
          <t>GULLSPÅNG</t>
        </is>
      </c>
      <c r="G14866" t="n">
        <v>0.3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13196-2025</t>
        </is>
      </c>
      <c r="B14867" s="1" t="n">
        <v>45735.42291666667</v>
      </c>
      <c r="C14867" s="1" t="n">
        <v>46011</v>
      </c>
      <c r="D14867" t="inlineStr">
        <is>
          <t>VÄSTRA GÖTALANDS LÄN</t>
        </is>
      </c>
      <c r="E14867" t="inlineStr">
        <is>
          <t>VÄNERSBORG</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5321-2024</t>
        </is>
      </c>
      <c r="B14868" s="1" t="n">
        <v>45331.4083912037</v>
      </c>
      <c r="C14868" s="1" t="n">
        <v>46011</v>
      </c>
      <c r="D14868" t="inlineStr">
        <is>
          <t>VÄSTRA GÖTALANDS LÄN</t>
        </is>
      </c>
      <c r="E14868" t="inlineStr">
        <is>
          <t>MARIESTAD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41240-2024</t>
        </is>
      </c>
      <c r="B14869" s="1" t="n">
        <v>45559.57224537037</v>
      </c>
      <c r="C14869" s="1" t="n">
        <v>46011</v>
      </c>
      <c r="D14869" t="inlineStr">
        <is>
          <t>VÄSTRA GÖTALANDS LÄN</t>
        </is>
      </c>
      <c r="E14869" t="inlineStr">
        <is>
          <t>SVENLJUNGA</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1191-2025</t>
        </is>
      </c>
      <c r="B14870" s="1" t="n">
        <v>45666</v>
      </c>
      <c r="C14870" s="1" t="n">
        <v>46011</v>
      </c>
      <c r="D14870" t="inlineStr">
        <is>
          <t>VÄSTRA GÖTALANDS LÄN</t>
        </is>
      </c>
      <c r="E14870" t="inlineStr">
        <is>
          <t>TIBRO</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12589-2025</t>
        </is>
      </c>
      <c r="B14871" s="1" t="n">
        <v>45732.7803125</v>
      </c>
      <c r="C14871" s="1" t="n">
        <v>46011</v>
      </c>
      <c r="D14871" t="inlineStr">
        <is>
          <t>VÄSTRA GÖTALANDS LÄN</t>
        </is>
      </c>
      <c r="E14871" t="inlineStr">
        <is>
          <t>STENUNGSUND</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11818-2025</t>
        </is>
      </c>
      <c r="B14872" s="1" t="n">
        <v>45728.31863425926</v>
      </c>
      <c r="C14872" s="1" t="n">
        <v>46011</v>
      </c>
      <c r="D14872" t="inlineStr">
        <is>
          <t>VÄSTRA GÖTALANDS LÄN</t>
        </is>
      </c>
      <c r="E14872" t="inlineStr">
        <is>
          <t>GULLSPÅNG</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11939-2025</t>
        </is>
      </c>
      <c r="B14873" s="1" t="n">
        <v>45728.53525462963</v>
      </c>
      <c r="C14873" s="1" t="n">
        <v>46011</v>
      </c>
      <c r="D14873" t="inlineStr">
        <is>
          <t>VÄSTRA GÖTALANDS LÄN</t>
        </is>
      </c>
      <c r="E14873" t="inlineStr">
        <is>
          <t>FALKÖPING</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10164-2025</t>
        </is>
      </c>
      <c r="B14874" s="1" t="n">
        <v>45719.64946759259</v>
      </c>
      <c r="C14874" s="1" t="n">
        <v>46011</v>
      </c>
      <c r="D14874" t="inlineStr">
        <is>
          <t>VÄSTRA GÖTALANDS LÄN</t>
        </is>
      </c>
      <c r="E14874" t="inlineStr">
        <is>
          <t>ESSUNGA</t>
        </is>
      </c>
      <c r="F14874" t="inlineStr">
        <is>
          <t>Kyrkan</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10228-2025</t>
        </is>
      </c>
      <c r="B14875" s="1" t="n">
        <v>45720.32241898148</v>
      </c>
      <c r="C14875" s="1" t="n">
        <v>46011</v>
      </c>
      <c r="D14875" t="inlineStr">
        <is>
          <t>VÄSTRA GÖTALANDS LÄN</t>
        </is>
      </c>
      <c r="E14875" t="inlineStr">
        <is>
          <t>MUNKEDAL</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10633-2025</t>
        </is>
      </c>
      <c r="B14876" s="1" t="n">
        <v>45721.63809027777</v>
      </c>
      <c r="C14876" s="1" t="n">
        <v>46011</v>
      </c>
      <c r="D14876" t="inlineStr">
        <is>
          <t>VÄSTRA GÖTALANDS LÄN</t>
        </is>
      </c>
      <c r="E14876" t="inlineStr">
        <is>
          <t>MUNKEDAL</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10638-2025</t>
        </is>
      </c>
      <c r="B14877" s="1" t="n">
        <v>45721</v>
      </c>
      <c r="C14877" s="1" t="n">
        <v>46011</v>
      </c>
      <c r="D14877" t="inlineStr">
        <is>
          <t>VÄSTRA GÖTALANDS LÄN</t>
        </is>
      </c>
      <c r="E14877" t="inlineStr">
        <is>
          <t>GULLSPÅNG</t>
        </is>
      </c>
      <c r="G14877" t="n">
        <v>11.8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12001-2025</t>
        </is>
      </c>
      <c r="B14878" s="1" t="n">
        <v>45728.61289351852</v>
      </c>
      <c r="C14878" s="1" t="n">
        <v>46011</v>
      </c>
      <c r="D14878" t="inlineStr">
        <is>
          <t>VÄSTRA GÖTALANDS LÄN</t>
        </is>
      </c>
      <c r="E14878" t="inlineStr">
        <is>
          <t>MARIESTAD</t>
        </is>
      </c>
      <c r="F14878" t="inlineStr">
        <is>
          <t>Sveaskog</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9558-2025</t>
        </is>
      </c>
      <c r="B14879" s="1" t="n">
        <v>45714</v>
      </c>
      <c r="C14879" s="1" t="n">
        <v>46011</v>
      </c>
      <c r="D14879" t="inlineStr">
        <is>
          <t>VÄSTRA GÖTALANDS LÄN</t>
        </is>
      </c>
      <c r="E14879" t="inlineStr">
        <is>
          <t>MUNKEDAL</t>
        </is>
      </c>
      <c r="F14879" t="inlineStr">
        <is>
          <t>Övriga Aktiebolag</t>
        </is>
      </c>
      <c r="G14879" t="n">
        <v>26.5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34720-2024</t>
        </is>
      </c>
      <c r="B14880" s="1" t="n">
        <v>45526</v>
      </c>
      <c r="C14880" s="1" t="n">
        <v>46011</v>
      </c>
      <c r="D14880" t="inlineStr">
        <is>
          <t>VÄSTRA GÖTALANDS LÄN</t>
        </is>
      </c>
      <c r="E14880" t="inlineStr">
        <is>
          <t>FALKÖPING</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8869-2025</t>
        </is>
      </c>
      <c r="B14881" s="1" t="n">
        <v>45713.369375</v>
      </c>
      <c r="C14881" s="1" t="n">
        <v>46011</v>
      </c>
      <c r="D14881" t="inlineStr">
        <is>
          <t>VÄSTRA GÖTALANDS LÄN</t>
        </is>
      </c>
      <c r="E14881" t="inlineStr">
        <is>
          <t>TROLLHÄTTAN</t>
        </is>
      </c>
      <c r="G14881" t="n">
        <v>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8870-2025</t>
        </is>
      </c>
      <c r="B14882" s="1" t="n">
        <v>45713.37015046296</v>
      </c>
      <c r="C14882" s="1" t="n">
        <v>46011</v>
      </c>
      <c r="D14882" t="inlineStr">
        <is>
          <t>VÄSTRA GÖTALANDS LÄN</t>
        </is>
      </c>
      <c r="E14882" t="inlineStr">
        <is>
          <t>MELLERUD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11012-2025</t>
        </is>
      </c>
      <c r="B14883" s="1" t="n">
        <v>45723.45986111111</v>
      </c>
      <c r="C14883" s="1" t="n">
        <v>46011</v>
      </c>
      <c r="D14883" t="inlineStr">
        <is>
          <t>VÄSTRA GÖTALANDS LÄN</t>
        </is>
      </c>
      <c r="E14883" t="inlineStr">
        <is>
          <t>MARIESTAD</t>
        </is>
      </c>
      <c r="F14883" t="inlineStr">
        <is>
          <t>Kyrkan</t>
        </is>
      </c>
      <c r="G14883" t="n">
        <v>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54263-2024</t>
        </is>
      </c>
      <c r="B14884" s="1" t="n">
        <v>45616</v>
      </c>
      <c r="C14884" s="1" t="n">
        <v>46011</v>
      </c>
      <c r="D14884" t="inlineStr">
        <is>
          <t>VÄSTRA GÖTALANDS LÄN</t>
        </is>
      </c>
      <c r="E14884" t="inlineStr">
        <is>
          <t>MARIESTAD</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13832-2025</t>
        </is>
      </c>
      <c r="B14885" s="1" t="n">
        <v>45737.54762731482</v>
      </c>
      <c r="C14885" s="1" t="n">
        <v>46011</v>
      </c>
      <c r="D14885" t="inlineStr">
        <is>
          <t>VÄSTRA GÖTALANDS LÄN</t>
        </is>
      </c>
      <c r="E14885" t="inlineStr">
        <is>
          <t>TANUM</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13917-2025</t>
        </is>
      </c>
      <c r="B14886" s="1" t="n">
        <v>45737.65680555555</v>
      </c>
      <c r="C14886" s="1" t="n">
        <v>46011</v>
      </c>
      <c r="D14886" t="inlineStr">
        <is>
          <t>VÄSTRA GÖTALANDS LÄN</t>
        </is>
      </c>
      <c r="E14886" t="inlineStr">
        <is>
          <t>UDDEVALLA</t>
        </is>
      </c>
      <c r="G14886" t="n">
        <v>4.9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11387-2025</t>
        </is>
      </c>
      <c r="B14887" s="1" t="n">
        <v>45726.56342592592</v>
      </c>
      <c r="C14887" s="1" t="n">
        <v>46011</v>
      </c>
      <c r="D14887" t="inlineStr">
        <is>
          <t>VÄSTRA GÖTALANDS LÄN</t>
        </is>
      </c>
      <c r="E14887" t="inlineStr">
        <is>
          <t>LIDKÖPING</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12656-2025</t>
        </is>
      </c>
      <c r="B14888" s="1" t="n">
        <v>45733.41709490741</v>
      </c>
      <c r="C14888" s="1" t="n">
        <v>46011</v>
      </c>
      <c r="D14888" t="inlineStr">
        <is>
          <t>VÄSTRA GÖTALANDS LÄN</t>
        </is>
      </c>
      <c r="E14888" t="inlineStr">
        <is>
          <t>GÖTENE</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12779-2025</t>
        </is>
      </c>
      <c r="B14889" s="1" t="n">
        <v>45733.59574074074</v>
      </c>
      <c r="C14889" s="1" t="n">
        <v>46011</v>
      </c>
      <c r="D14889" t="inlineStr">
        <is>
          <t>VÄSTRA GÖTALANDS LÄN</t>
        </is>
      </c>
      <c r="E14889" t="inlineStr">
        <is>
          <t>STRÖMSTAD</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12790-2025</t>
        </is>
      </c>
      <c r="B14890" s="1" t="n">
        <v>45733.60599537037</v>
      </c>
      <c r="C14890" s="1" t="n">
        <v>46011</v>
      </c>
      <c r="D14890" t="inlineStr">
        <is>
          <t>VÄSTRA GÖTALANDS LÄN</t>
        </is>
      </c>
      <c r="E14890" t="inlineStr">
        <is>
          <t>LILLA EDET</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14934-2025</t>
        </is>
      </c>
      <c r="B14891" s="1" t="n">
        <v>45743.55642361111</v>
      </c>
      <c r="C14891" s="1" t="n">
        <v>46011</v>
      </c>
      <c r="D14891" t="inlineStr">
        <is>
          <t>VÄSTRA GÖTALANDS LÄN</t>
        </is>
      </c>
      <c r="E14891" t="inlineStr">
        <is>
          <t>DALS-ED</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23526-2025</t>
        </is>
      </c>
      <c r="B14892" s="1" t="n">
        <v>45792.5219212963</v>
      </c>
      <c r="C14892" s="1" t="n">
        <v>46011</v>
      </c>
      <c r="D14892" t="inlineStr">
        <is>
          <t>VÄSTRA GÖTALANDS LÄN</t>
        </is>
      </c>
      <c r="E14892" t="inlineStr">
        <is>
          <t>HERRLJUNGA</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12328-2025</t>
        </is>
      </c>
      <c r="B14893" s="1" t="n">
        <v>45730.31946759259</v>
      </c>
      <c r="C14893" s="1" t="n">
        <v>46011</v>
      </c>
      <c r="D14893" t="inlineStr">
        <is>
          <t>VÄSTRA GÖTALANDS LÄN</t>
        </is>
      </c>
      <c r="E14893" t="inlineStr">
        <is>
          <t>TÖREBODA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14760-2025</t>
        </is>
      </c>
      <c r="B14894" s="1" t="n">
        <v>45742</v>
      </c>
      <c r="C14894" s="1" t="n">
        <v>46011</v>
      </c>
      <c r="D14894" t="inlineStr">
        <is>
          <t>VÄSTRA GÖTALANDS LÄN</t>
        </is>
      </c>
      <c r="E14894" t="inlineStr">
        <is>
          <t>ORUST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23527-2025</t>
        </is>
      </c>
      <c r="B14895" s="1" t="n">
        <v>45792.52826388889</v>
      </c>
      <c r="C14895" s="1" t="n">
        <v>46011</v>
      </c>
      <c r="D14895" t="inlineStr">
        <is>
          <t>VÄSTRA GÖTALANDS LÄN</t>
        </is>
      </c>
      <c r="E14895" t="inlineStr">
        <is>
          <t>MUNKEDAL</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37501-2023</t>
        </is>
      </c>
      <c r="B14896" s="1" t="n">
        <v>45157</v>
      </c>
      <c r="C14896" s="1" t="n">
        <v>46011</v>
      </c>
      <c r="D14896" t="inlineStr">
        <is>
          <t>VÄSTRA GÖTALANDS LÄN</t>
        </is>
      </c>
      <c r="E14896" t="inlineStr">
        <is>
          <t>ULRICEHAMN</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12782-2025</t>
        </is>
      </c>
      <c r="B14897" s="1" t="n">
        <v>45733.59701388889</v>
      </c>
      <c r="C14897" s="1" t="n">
        <v>46011</v>
      </c>
      <c r="D14897" t="inlineStr">
        <is>
          <t>VÄSTRA GÖTALANDS LÄN</t>
        </is>
      </c>
      <c r="E14897" t="inlineStr">
        <is>
          <t>LILLA EDET</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4971-2024</t>
        </is>
      </c>
      <c r="B14898" s="1" t="n">
        <v>45329</v>
      </c>
      <c r="C14898" s="1" t="n">
        <v>46011</v>
      </c>
      <c r="D14898" t="inlineStr">
        <is>
          <t>VÄSTRA GÖTALANDS LÄN</t>
        </is>
      </c>
      <c r="E14898" t="inlineStr">
        <is>
          <t>ALE</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3449-2025</t>
        </is>
      </c>
      <c r="B14899" s="1" t="n">
        <v>45680.47359953704</v>
      </c>
      <c r="C14899" s="1" t="n">
        <v>46011</v>
      </c>
      <c r="D14899" t="inlineStr">
        <is>
          <t>VÄSTRA GÖTALANDS LÄN</t>
        </is>
      </c>
      <c r="E14899" t="inlineStr">
        <is>
          <t>TIDAHOLM</t>
        </is>
      </c>
      <c r="G14899" t="n">
        <v>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8768-2025</t>
        </is>
      </c>
      <c r="B14900" s="1" t="n">
        <v>45712.5903587963</v>
      </c>
      <c r="C14900" s="1" t="n">
        <v>46011</v>
      </c>
      <c r="D14900" t="inlineStr">
        <is>
          <t>VÄSTRA GÖTALANDS LÄN</t>
        </is>
      </c>
      <c r="E14900" t="inlineStr">
        <is>
          <t>LIDKÖPING</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9374-2025</t>
        </is>
      </c>
      <c r="B14901" s="1" t="n">
        <v>45715.32998842592</v>
      </c>
      <c r="C14901" s="1" t="n">
        <v>46011</v>
      </c>
      <c r="D14901" t="inlineStr">
        <is>
          <t>VÄSTRA GÖTALANDS LÄN</t>
        </is>
      </c>
      <c r="E14901" t="inlineStr">
        <is>
          <t>ESSUNGA</t>
        </is>
      </c>
      <c r="F14901" t="inlineStr">
        <is>
          <t>Kyrkan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9418-2025</t>
        </is>
      </c>
      <c r="B14902" s="1" t="n">
        <v>45715.39475694444</v>
      </c>
      <c r="C14902" s="1" t="n">
        <v>46011</v>
      </c>
      <c r="D14902" t="inlineStr">
        <is>
          <t>VÄSTRA GÖTALANDS LÄN</t>
        </is>
      </c>
      <c r="E14902" t="inlineStr">
        <is>
          <t>BENGTSFORS</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10097-2025</t>
        </is>
      </c>
      <c r="B14903" s="1" t="n">
        <v>45719.57722222222</v>
      </c>
      <c r="C14903" s="1" t="n">
        <v>46011</v>
      </c>
      <c r="D14903" t="inlineStr">
        <is>
          <t>VÄSTRA GÖTALANDS LÄN</t>
        </is>
      </c>
      <c r="E14903" t="inlineStr">
        <is>
          <t>MELLERUD</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10182-2025</t>
        </is>
      </c>
      <c r="B14904" s="1" t="n">
        <v>45719.68414351852</v>
      </c>
      <c r="C14904" s="1" t="n">
        <v>46011</v>
      </c>
      <c r="D14904" t="inlineStr">
        <is>
          <t>VÄSTRA GÖTALANDS LÄN</t>
        </is>
      </c>
      <c r="E14904" t="inlineStr">
        <is>
          <t>MELLERUD</t>
        </is>
      </c>
      <c r="G14904" t="n">
        <v>7.8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12011-2025</t>
        </is>
      </c>
      <c r="B14905" s="1" t="n">
        <v>45728.61773148148</v>
      </c>
      <c r="C14905" s="1" t="n">
        <v>46011</v>
      </c>
      <c r="D14905" t="inlineStr">
        <is>
          <t>VÄSTRA GÖTALANDS LÄN</t>
        </is>
      </c>
      <c r="E14905" t="inlineStr">
        <is>
          <t>MARIESTAD</t>
        </is>
      </c>
      <c r="F14905" t="inlineStr">
        <is>
          <t>Sveaskog</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12012-2025</t>
        </is>
      </c>
      <c r="B14906" s="1" t="n">
        <v>45728.61907407407</v>
      </c>
      <c r="C14906" s="1" t="n">
        <v>46011</v>
      </c>
      <c r="D14906" t="inlineStr">
        <is>
          <t>VÄSTRA GÖTALANDS LÄN</t>
        </is>
      </c>
      <c r="E14906" t="inlineStr">
        <is>
          <t>MARIESTAD</t>
        </is>
      </c>
      <c r="F14906" t="inlineStr">
        <is>
          <t>Sveaskog</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23125-2025</t>
        </is>
      </c>
      <c r="B14907" s="1" t="n">
        <v>45791.38410879629</v>
      </c>
      <c r="C14907" s="1" t="n">
        <v>46011</v>
      </c>
      <c r="D14907" t="inlineStr">
        <is>
          <t>VÄSTRA GÖTALANDS LÄN</t>
        </is>
      </c>
      <c r="E14907" t="inlineStr">
        <is>
          <t>ÅMÅL</t>
        </is>
      </c>
      <c r="G14907" t="n">
        <v>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10357-2025</t>
        </is>
      </c>
      <c r="B14908" s="1" t="n">
        <v>45720.53015046296</v>
      </c>
      <c r="C14908" s="1" t="n">
        <v>46011</v>
      </c>
      <c r="D14908" t="inlineStr">
        <is>
          <t>VÄSTRA GÖTALANDS LÄN</t>
        </is>
      </c>
      <c r="E14908" t="inlineStr">
        <is>
          <t>MELLERUD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10358-2025</t>
        </is>
      </c>
      <c r="B14909" s="1" t="n">
        <v>45720.53283564815</v>
      </c>
      <c r="C14909" s="1" t="n">
        <v>46011</v>
      </c>
      <c r="D14909" t="inlineStr">
        <is>
          <t>VÄSTRA GÖTALANDS LÄN</t>
        </is>
      </c>
      <c r="E14909" t="inlineStr">
        <is>
          <t>MELLERUD</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10393-2025</t>
        </is>
      </c>
      <c r="B14910" s="1" t="n">
        <v>45720.60332175926</v>
      </c>
      <c r="C14910" s="1" t="n">
        <v>46011</v>
      </c>
      <c r="D14910" t="inlineStr">
        <is>
          <t>VÄSTRA GÖTALANDS LÄN</t>
        </is>
      </c>
      <c r="E14910" t="inlineStr">
        <is>
          <t>GULLSPÅNG</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11393-2025</t>
        </is>
      </c>
      <c r="B14911" s="1" t="n">
        <v>45726.57238425926</v>
      </c>
      <c r="C14911" s="1" t="n">
        <v>46011</v>
      </c>
      <c r="D14911" t="inlineStr">
        <is>
          <t>VÄSTRA GÖTALANDS LÄN</t>
        </is>
      </c>
      <c r="E14911" t="inlineStr">
        <is>
          <t>LIDKÖPING</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9331-2025</t>
        </is>
      </c>
      <c r="B14912" s="1" t="n">
        <v>45714.78236111111</v>
      </c>
      <c r="C14912" s="1" t="n">
        <v>46011</v>
      </c>
      <c r="D14912" t="inlineStr">
        <is>
          <t>VÄSTRA GÖTALANDS LÄN</t>
        </is>
      </c>
      <c r="E14912" t="inlineStr">
        <is>
          <t>BENGTSFORS</t>
        </is>
      </c>
      <c r="G14912" t="n">
        <v>6.6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8468-2025</t>
        </is>
      </c>
      <c r="B14913" s="1" t="n">
        <v>45709.47069444445</v>
      </c>
      <c r="C14913" s="1" t="n">
        <v>46011</v>
      </c>
      <c r="D14913" t="inlineStr">
        <is>
          <t>VÄSTRA GÖTALANDS LÄN</t>
        </is>
      </c>
      <c r="E14913" t="inlineStr">
        <is>
          <t>MARIESTAD</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14904-2025</t>
        </is>
      </c>
      <c r="B14914" s="1" t="n">
        <v>45743.49012731481</v>
      </c>
      <c r="C14914" s="1" t="n">
        <v>46011</v>
      </c>
      <c r="D14914" t="inlineStr">
        <is>
          <t>VÄSTRA GÖTALANDS LÄN</t>
        </is>
      </c>
      <c r="E14914" t="inlineStr">
        <is>
          <t>ÅMÅL</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14906-2025</t>
        </is>
      </c>
      <c r="B14915" s="1" t="n">
        <v>45743.49373842592</v>
      </c>
      <c r="C14915" s="1" t="n">
        <v>46011</v>
      </c>
      <c r="D14915" t="inlineStr">
        <is>
          <t>VÄSTRA GÖTALANDS LÄN</t>
        </is>
      </c>
      <c r="E14915" t="inlineStr">
        <is>
          <t>STENUNGSUND</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14914-2025</t>
        </is>
      </c>
      <c r="B14916" s="1" t="n">
        <v>45743.5306712963</v>
      </c>
      <c r="C14916" s="1" t="n">
        <v>46011</v>
      </c>
      <c r="D14916" t="inlineStr">
        <is>
          <t>VÄSTRA GÖTALANDS LÄN</t>
        </is>
      </c>
      <c r="E14916" t="inlineStr">
        <is>
          <t>DALS-ED</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13670-2025</t>
        </is>
      </c>
      <c r="B14917" s="1" t="n">
        <v>45736.8590625</v>
      </c>
      <c r="C14917" s="1" t="n">
        <v>46011</v>
      </c>
      <c r="D14917" t="inlineStr">
        <is>
          <t>VÄSTRA GÖTALANDS LÄN</t>
        </is>
      </c>
      <c r="E14917" t="inlineStr">
        <is>
          <t>DALS-ED</t>
        </is>
      </c>
      <c r="F14917" t="inlineStr">
        <is>
          <t>Övriga Aktiebolag</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45599-2024</t>
        </is>
      </c>
      <c r="B14918" s="1" t="n">
        <v>45579.43138888889</v>
      </c>
      <c r="C14918" s="1" t="n">
        <v>46011</v>
      </c>
      <c r="D14918" t="inlineStr">
        <is>
          <t>VÄSTRA GÖTALANDS LÄN</t>
        </is>
      </c>
      <c r="E14918" t="inlineStr">
        <is>
          <t>TIBRO</t>
        </is>
      </c>
      <c r="G14918" t="n">
        <v>6.8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13810-2025</t>
        </is>
      </c>
      <c r="B14919" s="1" t="n">
        <v>45737.50302083333</v>
      </c>
      <c r="C14919" s="1" t="n">
        <v>46011</v>
      </c>
      <c r="D14919" t="inlineStr">
        <is>
          <t>VÄSTRA GÖTALANDS LÄN</t>
        </is>
      </c>
      <c r="E14919" t="inlineStr">
        <is>
          <t>TANUM</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23294-2025</t>
        </is>
      </c>
      <c r="B14920" s="1" t="n">
        <v>45791.58967592593</v>
      </c>
      <c r="C14920" s="1" t="n">
        <v>46011</v>
      </c>
      <c r="D14920" t="inlineStr">
        <is>
          <t>VÄSTRA GÖTALANDS LÄN</t>
        </is>
      </c>
      <c r="E14920" t="inlineStr">
        <is>
          <t>TJÖRN</t>
        </is>
      </c>
      <c r="G14920" t="n">
        <v>4.6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9098-2025</t>
        </is>
      </c>
      <c r="B14921" s="1" t="n">
        <v>45713.68337962963</v>
      </c>
      <c r="C14921" s="1" t="n">
        <v>46011</v>
      </c>
      <c r="D14921" t="inlineStr">
        <is>
          <t>VÄSTRA GÖTALANDS LÄN</t>
        </is>
      </c>
      <c r="E14921" t="inlineStr">
        <is>
          <t>VARA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11633-2025</t>
        </is>
      </c>
      <c r="B14922" s="1" t="n">
        <v>45727.46413194444</v>
      </c>
      <c r="C14922" s="1" t="n">
        <v>46011</v>
      </c>
      <c r="D14922" t="inlineStr">
        <is>
          <t>VÄSTRA GÖTALANDS LÄN</t>
        </is>
      </c>
      <c r="E14922" t="inlineStr">
        <is>
          <t>MARIESTAD</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14964-2025</t>
        </is>
      </c>
      <c r="B14923" s="1" t="n">
        <v>45743.58701388889</v>
      </c>
      <c r="C14923" s="1" t="n">
        <v>46011</v>
      </c>
      <c r="D14923" t="inlineStr">
        <is>
          <t>VÄSTRA GÖTALANDS LÄN</t>
        </is>
      </c>
      <c r="E14923" t="inlineStr">
        <is>
          <t>SKÖVDE</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14862-2025</t>
        </is>
      </c>
      <c r="B14924" s="1" t="n">
        <v>45743.4346875</v>
      </c>
      <c r="C14924" s="1" t="n">
        <v>46011</v>
      </c>
      <c r="D14924" t="inlineStr">
        <is>
          <t>VÄSTRA GÖTALANDS LÄN</t>
        </is>
      </c>
      <c r="E14924" t="inlineStr">
        <is>
          <t>KARLSBORG</t>
        </is>
      </c>
      <c r="G14924" t="n">
        <v>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23533-2025</t>
        </is>
      </c>
      <c r="B14925" s="1" t="n">
        <v>45792.53724537037</v>
      </c>
      <c r="C14925" s="1" t="n">
        <v>46011</v>
      </c>
      <c r="D14925" t="inlineStr">
        <is>
          <t>VÄSTRA GÖTALANDS LÄN</t>
        </is>
      </c>
      <c r="E14925" t="inlineStr">
        <is>
          <t>ALINGSÅS</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23544-2025</t>
        </is>
      </c>
      <c r="B14926" s="1" t="n">
        <v>45792.56561342593</v>
      </c>
      <c r="C14926" s="1" t="n">
        <v>46011</v>
      </c>
      <c r="D14926" t="inlineStr">
        <is>
          <t>VÄSTRA GÖTALANDS LÄN</t>
        </is>
      </c>
      <c r="E14926" t="inlineStr">
        <is>
          <t>SKÖVDE</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8436-2025</t>
        </is>
      </c>
      <c r="B14927" s="1" t="n">
        <v>45709.43996527778</v>
      </c>
      <c r="C14927" s="1" t="n">
        <v>46011</v>
      </c>
      <c r="D14927" t="inlineStr">
        <is>
          <t>VÄSTRA GÖTALANDS LÄN</t>
        </is>
      </c>
      <c r="E14927" t="inlineStr">
        <is>
          <t>FALKÖPING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9640-2025</t>
        </is>
      </c>
      <c r="B14928" s="1" t="n">
        <v>45715.83090277778</v>
      </c>
      <c r="C14928" s="1" t="n">
        <v>46011</v>
      </c>
      <c r="D14928" t="inlineStr">
        <is>
          <t>VÄSTRA GÖTALANDS LÄN</t>
        </is>
      </c>
      <c r="E14928" t="inlineStr">
        <is>
          <t>SKÖVDE</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9698-2025</t>
        </is>
      </c>
      <c r="B14929" s="1" t="n">
        <v>45716.37402777778</v>
      </c>
      <c r="C14929" s="1" t="n">
        <v>46011</v>
      </c>
      <c r="D14929" t="inlineStr">
        <is>
          <t>VÄSTRA GÖTALANDS LÄN</t>
        </is>
      </c>
      <c r="E14929" t="inlineStr">
        <is>
          <t>STRÖMSTAD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9756-2025</t>
        </is>
      </c>
      <c r="B14930" s="1" t="n">
        <v>45716.47010416666</v>
      </c>
      <c r="C14930" s="1" t="n">
        <v>46011</v>
      </c>
      <c r="D14930" t="inlineStr">
        <is>
          <t>VÄSTRA GÖTALANDS LÄN</t>
        </is>
      </c>
      <c r="E14930" t="inlineStr">
        <is>
          <t>SKARA</t>
        </is>
      </c>
      <c r="F14930" t="inlineStr">
        <is>
          <t>Sveaskog</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14014-2025</t>
        </is>
      </c>
      <c r="B14931" s="1" t="n">
        <v>45740.3164699074</v>
      </c>
      <c r="C14931" s="1" t="n">
        <v>46011</v>
      </c>
      <c r="D14931" t="inlineStr">
        <is>
          <t>VÄSTRA GÖTALANDS LÄN</t>
        </is>
      </c>
      <c r="E14931" t="inlineStr">
        <is>
          <t>FÄRGELANDA</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14021-2025</t>
        </is>
      </c>
      <c r="B14932" s="1" t="n">
        <v>45740.33630787037</v>
      </c>
      <c r="C14932" s="1" t="n">
        <v>46011</v>
      </c>
      <c r="D14932" t="inlineStr">
        <is>
          <t>VÄSTRA GÖTALANDS LÄN</t>
        </is>
      </c>
      <c r="E14932" t="inlineStr">
        <is>
          <t>UDDEVALLA</t>
        </is>
      </c>
      <c r="G14932" t="n">
        <v>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11931-2025</t>
        </is>
      </c>
      <c r="B14933" s="1" t="n">
        <v>45728.5212962963</v>
      </c>
      <c r="C14933" s="1" t="n">
        <v>46011</v>
      </c>
      <c r="D14933" t="inlineStr">
        <is>
          <t>VÄSTRA GÖTALANDS LÄN</t>
        </is>
      </c>
      <c r="E14933" t="inlineStr">
        <is>
          <t>STRÖMSTAD</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11487-2025</t>
        </is>
      </c>
      <c r="B14934" s="1" t="n">
        <v>45726.70016203704</v>
      </c>
      <c r="C14934" s="1" t="n">
        <v>46011</v>
      </c>
      <c r="D14934" t="inlineStr">
        <is>
          <t>VÄSTRA GÖTALANDS LÄN</t>
        </is>
      </c>
      <c r="E14934" t="inlineStr">
        <is>
          <t>TANUM</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12243-2025</t>
        </is>
      </c>
      <c r="B14935" s="1" t="n">
        <v>45729</v>
      </c>
      <c r="C14935" s="1" t="n">
        <v>46011</v>
      </c>
      <c r="D14935" t="inlineStr">
        <is>
          <t>VÄSTRA GÖTALANDS LÄN</t>
        </is>
      </c>
      <c r="E14935" t="inlineStr">
        <is>
          <t>LILLA EDET</t>
        </is>
      </c>
      <c r="G14935" t="n">
        <v>10.2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8961-2025</t>
        </is>
      </c>
      <c r="B14936" s="1" t="n">
        <v>45713.48292824074</v>
      </c>
      <c r="C14936" s="1" t="n">
        <v>46011</v>
      </c>
      <c r="D14936" t="inlineStr">
        <is>
          <t>VÄSTRA GÖTALANDS LÄN</t>
        </is>
      </c>
      <c r="E14936" t="inlineStr">
        <is>
          <t>STENUNGSUND</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8984-2025</t>
        </is>
      </c>
      <c r="B14937" s="1" t="n">
        <v>45713.53513888889</v>
      </c>
      <c r="C14937" s="1" t="n">
        <v>46011</v>
      </c>
      <c r="D14937" t="inlineStr">
        <is>
          <t>VÄSTRA GÖTALANDS LÄN</t>
        </is>
      </c>
      <c r="E14937" t="inlineStr">
        <is>
          <t>KARLSBORG</t>
        </is>
      </c>
      <c r="F14937" t="inlineStr">
        <is>
          <t>Övriga Aktiebolag</t>
        </is>
      </c>
      <c r="G14937" t="n">
        <v>9.5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9083-2025</t>
        </is>
      </c>
      <c r="B14938" s="1" t="n">
        <v>45713.66717592593</v>
      </c>
      <c r="C14938" s="1" t="n">
        <v>46011</v>
      </c>
      <c r="D14938" t="inlineStr">
        <is>
          <t>VÄSTRA GÖTALANDS LÄN</t>
        </is>
      </c>
      <c r="E14938" t="inlineStr">
        <is>
          <t>LIDKÖPING</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11174-2025</t>
        </is>
      </c>
      <c r="B14939" s="1" t="n">
        <v>45724.6228125</v>
      </c>
      <c r="C14939" s="1" t="n">
        <v>46011</v>
      </c>
      <c r="D14939" t="inlineStr">
        <is>
          <t>VÄSTRA GÖTALANDS LÄN</t>
        </is>
      </c>
      <c r="E14939" t="inlineStr">
        <is>
          <t>MARK</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11213-2025</t>
        </is>
      </c>
      <c r="B14940" s="1" t="n">
        <v>45726.33466435185</v>
      </c>
      <c r="C14940" s="1" t="n">
        <v>46011</v>
      </c>
      <c r="D14940" t="inlineStr">
        <is>
          <t>VÄSTRA GÖTALANDS LÄN</t>
        </is>
      </c>
      <c r="E14940" t="inlineStr">
        <is>
          <t>MELLERUD</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14087-2025</t>
        </is>
      </c>
      <c r="B14941" s="1" t="n">
        <v>45739</v>
      </c>
      <c r="C14941" s="1" t="n">
        <v>46011</v>
      </c>
      <c r="D14941" t="inlineStr">
        <is>
          <t>VÄSTRA GÖTALANDS LÄN</t>
        </is>
      </c>
      <c r="E14941" t="inlineStr">
        <is>
          <t>STRÖMSTAD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14752-2025</t>
        </is>
      </c>
      <c r="B14942" s="1" t="n">
        <v>45742.66047453704</v>
      </c>
      <c r="C14942" s="1" t="n">
        <v>46011</v>
      </c>
      <c r="D14942" t="inlineStr">
        <is>
          <t>VÄSTRA GÖTALANDS LÄN</t>
        </is>
      </c>
      <c r="E14942" t="inlineStr">
        <is>
          <t>VÄNERSBORG</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14908-2025</t>
        </is>
      </c>
      <c r="B14943" s="1" t="n">
        <v>45743</v>
      </c>
      <c r="C14943" s="1" t="n">
        <v>46011</v>
      </c>
      <c r="D14943" t="inlineStr">
        <is>
          <t>VÄSTRA GÖTALANDS LÄN</t>
        </is>
      </c>
      <c r="E14943" t="inlineStr">
        <is>
          <t>UDDEVALLA</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23480-2025</t>
        </is>
      </c>
      <c r="B14944" s="1" t="n">
        <v>45792.45846064815</v>
      </c>
      <c r="C14944" s="1" t="n">
        <v>46011</v>
      </c>
      <c r="D14944" t="inlineStr">
        <is>
          <t>VÄSTRA GÖTALANDS LÄN</t>
        </is>
      </c>
      <c r="E14944" t="inlineStr">
        <is>
          <t>MARK</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23486-2025</t>
        </is>
      </c>
      <c r="B14945" s="1" t="n">
        <v>45792.46371527778</v>
      </c>
      <c r="C14945" s="1" t="n">
        <v>46011</v>
      </c>
      <c r="D14945" t="inlineStr">
        <is>
          <t>VÄSTRA GÖTALANDS LÄN</t>
        </is>
      </c>
      <c r="E14945" t="inlineStr">
        <is>
          <t>MARK</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23494-2025</t>
        </is>
      </c>
      <c r="B14946" s="1" t="n">
        <v>45792.46954861111</v>
      </c>
      <c r="C14946" s="1" t="n">
        <v>46011</v>
      </c>
      <c r="D14946" t="inlineStr">
        <is>
          <t>VÄSTRA GÖTALANDS LÄN</t>
        </is>
      </c>
      <c r="E14946" t="inlineStr">
        <is>
          <t>MARK</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23194-2025</t>
        </is>
      </c>
      <c r="B14947" s="1" t="n">
        <v>45791.45486111111</v>
      </c>
      <c r="C14947" s="1" t="n">
        <v>46011</v>
      </c>
      <c r="D14947" t="inlineStr">
        <is>
          <t>VÄSTRA GÖTALANDS LÄN</t>
        </is>
      </c>
      <c r="E14947" t="inlineStr">
        <is>
          <t>SVENLJUNGA</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23259-2025</t>
        </is>
      </c>
      <c r="B14948" s="1" t="n">
        <v>45791.53978009259</v>
      </c>
      <c r="C14948" s="1" t="n">
        <v>46011</v>
      </c>
      <c r="D14948" t="inlineStr">
        <is>
          <t>VÄSTRA GÖTALANDS LÄN</t>
        </is>
      </c>
      <c r="E14948" t="inlineStr">
        <is>
          <t>ORUST</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23267-2025</t>
        </is>
      </c>
      <c r="B14949" s="1" t="n">
        <v>45791.55678240741</v>
      </c>
      <c r="C14949" s="1" t="n">
        <v>46011</v>
      </c>
      <c r="D14949" t="inlineStr">
        <is>
          <t>VÄSTRA GÖTALANDS LÄN</t>
        </is>
      </c>
      <c r="E14949" t="inlineStr">
        <is>
          <t>ULRICEHAMN</t>
        </is>
      </c>
      <c r="G14949" t="n">
        <v>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23133-2025</t>
        </is>
      </c>
      <c r="B14950" s="1" t="n">
        <v>45791.38806712963</v>
      </c>
      <c r="C14950" s="1" t="n">
        <v>46011</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23149-2025</t>
        </is>
      </c>
      <c r="B14951" s="1" t="n">
        <v>45791.40295138889</v>
      </c>
      <c r="C14951" s="1" t="n">
        <v>46011</v>
      </c>
      <c r="D14951" t="inlineStr">
        <is>
          <t>VÄSTRA GÖTALANDS LÄN</t>
        </is>
      </c>
      <c r="E14951" t="inlineStr">
        <is>
          <t>TANUM</t>
        </is>
      </c>
      <c r="G14951" t="n">
        <v>9.9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54884-2024</t>
        </is>
      </c>
      <c r="B14952" s="1" t="n">
        <v>45618.61814814815</v>
      </c>
      <c r="C14952" s="1" t="n">
        <v>46011</v>
      </c>
      <c r="D14952" t="inlineStr">
        <is>
          <t>VÄSTRA GÖTALANDS LÄN</t>
        </is>
      </c>
      <c r="E14952" t="inlineStr">
        <is>
          <t>FALKÖPING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13684-2025</t>
        </is>
      </c>
      <c r="B14953" s="1" t="n">
        <v>45737.30388888889</v>
      </c>
      <c r="C14953" s="1" t="n">
        <v>46011</v>
      </c>
      <c r="D14953" t="inlineStr">
        <is>
          <t>VÄSTRA GÖTALANDS LÄN</t>
        </is>
      </c>
      <c r="E14953" t="inlineStr">
        <is>
          <t>DALS-ED</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10674-2025</t>
        </is>
      </c>
      <c r="B14954" s="1" t="n">
        <v>45721.86008101852</v>
      </c>
      <c r="C14954" s="1" t="n">
        <v>46011</v>
      </c>
      <c r="D14954" t="inlineStr">
        <is>
          <t>VÄSTRA GÖTALANDS LÄN</t>
        </is>
      </c>
      <c r="E14954" t="inlineStr">
        <is>
          <t>MARK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14891-2025</t>
        </is>
      </c>
      <c r="B14955" s="1" t="n">
        <v>45743.47010416666</v>
      </c>
      <c r="C14955" s="1" t="n">
        <v>46011</v>
      </c>
      <c r="D14955" t="inlineStr">
        <is>
          <t>VÄSTRA GÖTALANDS LÄN</t>
        </is>
      </c>
      <c r="E14955" t="inlineStr">
        <is>
          <t>LILLA EDET</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14901-2025</t>
        </is>
      </c>
      <c r="B14956" s="1" t="n">
        <v>45743.48797453703</v>
      </c>
      <c r="C14956" s="1" t="n">
        <v>46011</v>
      </c>
      <c r="D14956" t="inlineStr">
        <is>
          <t>VÄSTRA GÖTALANDS LÄN</t>
        </is>
      </c>
      <c r="E14956" t="inlineStr">
        <is>
          <t>VARA</t>
        </is>
      </c>
      <c r="F14956" t="inlineStr">
        <is>
          <t>Sveaskog</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7580-2025</t>
        </is>
      </c>
      <c r="B14957" s="1" t="n">
        <v>45705</v>
      </c>
      <c r="C14957" s="1" t="n">
        <v>46011</v>
      </c>
      <c r="D14957" t="inlineStr">
        <is>
          <t>VÄSTRA GÖTALANDS LÄN</t>
        </is>
      </c>
      <c r="E14957" t="inlineStr">
        <is>
          <t>MARIESTAD</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9878-2025</t>
        </is>
      </c>
      <c r="B14958" s="1" t="n">
        <v>45716</v>
      </c>
      <c r="C14958" s="1" t="n">
        <v>46011</v>
      </c>
      <c r="D14958" t="inlineStr">
        <is>
          <t>VÄSTRA GÖTALANDS LÄN</t>
        </is>
      </c>
      <c r="E14958" t="inlineStr">
        <is>
          <t>TANUM</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10005-2025</t>
        </is>
      </c>
      <c r="B14959" s="1" t="n">
        <v>45719.4530787037</v>
      </c>
      <c r="C14959" s="1" t="n">
        <v>46011</v>
      </c>
      <c r="D14959" t="inlineStr">
        <is>
          <t>VÄSTRA GÖTALANDS LÄN</t>
        </is>
      </c>
      <c r="E14959" t="inlineStr">
        <is>
          <t>UDDEVALLA</t>
        </is>
      </c>
      <c r="G14959" t="n">
        <v>8.199999999999999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10667-2025</t>
        </is>
      </c>
      <c r="B14960" s="1" t="n">
        <v>45721.76960648148</v>
      </c>
      <c r="C14960" s="1" t="n">
        <v>46011</v>
      </c>
      <c r="D14960" t="inlineStr">
        <is>
          <t>VÄSTRA GÖTALANDS LÄN</t>
        </is>
      </c>
      <c r="E14960" t="inlineStr">
        <is>
          <t>KARLSBORG</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10668-2025</t>
        </is>
      </c>
      <c r="B14961" s="1" t="n">
        <v>45721.77831018518</v>
      </c>
      <c r="C14961" s="1" t="n">
        <v>46011</v>
      </c>
      <c r="D14961" t="inlineStr">
        <is>
          <t>VÄSTRA GÖTALANDS LÄN</t>
        </is>
      </c>
      <c r="E14961" t="inlineStr">
        <is>
          <t>GÖTENE</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10677-2025</t>
        </is>
      </c>
      <c r="B14962" s="1" t="n">
        <v>45721.89055555555</v>
      </c>
      <c r="C14962" s="1" t="n">
        <v>46011</v>
      </c>
      <c r="D14962" t="inlineStr">
        <is>
          <t>VÄSTRA GÖTALANDS LÄN</t>
        </is>
      </c>
      <c r="E14962" t="inlineStr">
        <is>
          <t>KUNGÄLV</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23254-2025</t>
        </is>
      </c>
      <c r="B14963" s="1" t="n">
        <v>45791.5340162037</v>
      </c>
      <c r="C14963" s="1" t="n">
        <v>46011</v>
      </c>
      <c r="D14963" t="inlineStr">
        <is>
          <t>VÄSTRA GÖTALANDS LÄN</t>
        </is>
      </c>
      <c r="E14963" t="inlineStr">
        <is>
          <t>ORUST</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23295-2025</t>
        </is>
      </c>
      <c r="B14964" s="1" t="n">
        <v>45791.59071759259</v>
      </c>
      <c r="C14964" s="1" t="n">
        <v>46011</v>
      </c>
      <c r="D14964" t="inlineStr">
        <is>
          <t>VÄSTRA GÖTALANDS LÄN</t>
        </is>
      </c>
      <c r="E14964" t="inlineStr">
        <is>
          <t>TJÖRN</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23311-2025</t>
        </is>
      </c>
      <c r="B14965" s="1" t="n">
        <v>45791.60857638889</v>
      </c>
      <c r="C14965" s="1" t="n">
        <v>46011</v>
      </c>
      <c r="D14965" t="inlineStr">
        <is>
          <t>VÄSTRA GÖTALANDS LÄN</t>
        </is>
      </c>
      <c r="E14965" t="inlineStr">
        <is>
          <t>BOLLEBYGD</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23536-2025</t>
        </is>
      </c>
      <c r="B14966" s="1" t="n">
        <v>45792.54550925926</v>
      </c>
      <c r="C14966" s="1" t="n">
        <v>46011</v>
      </c>
      <c r="D14966" t="inlineStr">
        <is>
          <t>VÄSTRA GÖTALANDS LÄN</t>
        </is>
      </c>
      <c r="E14966" t="inlineStr">
        <is>
          <t>MARK</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34456-2024</t>
        </is>
      </c>
      <c r="B14967" s="1" t="n">
        <v>45525</v>
      </c>
      <c r="C14967" s="1" t="n">
        <v>46011</v>
      </c>
      <c r="D14967" t="inlineStr">
        <is>
          <t>VÄSTRA GÖTALANDS LÄN</t>
        </is>
      </c>
      <c r="E14967" t="inlineStr">
        <is>
          <t>FALKÖPING</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9625-2025</t>
        </is>
      </c>
      <c r="B14968" s="1" t="n">
        <v>45715</v>
      </c>
      <c r="C14968" s="1" t="n">
        <v>46011</v>
      </c>
      <c r="D14968" t="inlineStr">
        <is>
          <t>VÄSTRA GÖTALANDS LÄN</t>
        </is>
      </c>
      <c r="E14968" t="inlineStr">
        <is>
          <t>UDDEVALLA</t>
        </is>
      </c>
      <c r="G14968" t="n">
        <v>4.9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37461-2024</t>
        </is>
      </c>
      <c r="B14969" s="1" t="n">
        <v>45540.72516203704</v>
      </c>
      <c r="C14969" s="1" t="n">
        <v>46011</v>
      </c>
      <c r="D14969" t="inlineStr">
        <is>
          <t>VÄSTRA GÖTALANDS LÄN</t>
        </is>
      </c>
      <c r="E14969" t="inlineStr">
        <is>
          <t>ALE</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23668-2025</t>
        </is>
      </c>
      <c r="B14970" s="1" t="n">
        <v>45792.90586805555</v>
      </c>
      <c r="C14970" s="1" t="n">
        <v>46011</v>
      </c>
      <c r="D14970" t="inlineStr">
        <is>
          <t>VÄSTRA GÖTALANDS LÄN</t>
        </is>
      </c>
      <c r="E14970" t="inlineStr">
        <is>
          <t>VARA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23780-2025</t>
        </is>
      </c>
      <c r="B14971" s="1" t="n">
        <v>45793.50979166666</v>
      </c>
      <c r="C14971" s="1" t="n">
        <v>46011</v>
      </c>
      <c r="D14971" t="inlineStr">
        <is>
          <t>VÄSTRA GÖTALANDS LÄN</t>
        </is>
      </c>
      <c r="E14971" t="inlineStr">
        <is>
          <t>ÅMÅL</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24697-2023</t>
        </is>
      </c>
      <c r="B14972" s="1" t="n">
        <v>45084</v>
      </c>
      <c r="C14972" s="1" t="n">
        <v>46011</v>
      </c>
      <c r="D14972" t="inlineStr">
        <is>
          <t>VÄSTRA GÖTALANDS LÄN</t>
        </is>
      </c>
      <c r="E14972" t="inlineStr">
        <is>
          <t>TANUM</t>
        </is>
      </c>
      <c r="G14972" t="n">
        <v>5.3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8145-2024</t>
        </is>
      </c>
      <c r="B14973" s="1" t="n">
        <v>45351</v>
      </c>
      <c r="C14973" s="1" t="n">
        <v>46011</v>
      </c>
      <c r="D14973" t="inlineStr">
        <is>
          <t>VÄSTRA GÖTALANDS LÄN</t>
        </is>
      </c>
      <c r="E14973" t="inlineStr">
        <is>
          <t>HJO</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6222-2025</t>
        </is>
      </c>
      <c r="B14974" s="1" t="n">
        <v>45696</v>
      </c>
      <c r="C14974" s="1" t="n">
        <v>46011</v>
      </c>
      <c r="D14974" t="inlineStr">
        <is>
          <t>VÄSTRA GÖTALANDS LÄN</t>
        </is>
      </c>
      <c r="E14974" t="inlineStr">
        <is>
          <t>MUNKEDAL</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24028-2025</t>
        </is>
      </c>
      <c r="B14975" s="1" t="n">
        <v>45796.47368055556</v>
      </c>
      <c r="C14975" s="1" t="n">
        <v>46011</v>
      </c>
      <c r="D14975" t="inlineStr">
        <is>
          <t>VÄSTRA GÖTALANDS LÄN</t>
        </is>
      </c>
      <c r="E14975" t="inlineStr">
        <is>
          <t>FALKÖPING</t>
        </is>
      </c>
      <c r="G14975" t="n">
        <v>8.300000000000001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9512-2021</t>
        </is>
      </c>
      <c r="B14976" s="1" t="n">
        <v>44251</v>
      </c>
      <c r="C14976" s="1" t="n">
        <v>46011</v>
      </c>
      <c r="D14976" t="inlineStr">
        <is>
          <t>VÄSTRA GÖTALANDS LÄN</t>
        </is>
      </c>
      <c r="E14976" t="inlineStr">
        <is>
          <t>HÄRRYDA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74285-2021</t>
        </is>
      </c>
      <c r="B14977" s="1" t="n">
        <v>44558</v>
      </c>
      <c r="C14977" s="1" t="n">
        <v>46011</v>
      </c>
      <c r="D14977" t="inlineStr">
        <is>
          <t>VÄSTRA GÖTALANDS LÄN</t>
        </is>
      </c>
      <c r="E14977" t="inlineStr">
        <is>
          <t>KUNGÄLV</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17491-2024</t>
        </is>
      </c>
      <c r="B14978" s="1" t="n">
        <v>45415.50266203703</v>
      </c>
      <c r="C14978" s="1" t="n">
        <v>46011</v>
      </c>
      <c r="D14978" t="inlineStr">
        <is>
          <t>VÄSTRA GÖTALANDS LÄN</t>
        </is>
      </c>
      <c r="E14978" t="inlineStr">
        <is>
          <t>SOTENÄS</t>
        </is>
      </c>
      <c r="G14978" t="n">
        <v>6.2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36562-2024</t>
        </is>
      </c>
      <c r="B14979" s="1" t="n">
        <v>45537.4814699074</v>
      </c>
      <c r="C14979" s="1" t="n">
        <v>46011</v>
      </c>
      <c r="D14979" t="inlineStr">
        <is>
          <t>VÄSTRA GÖTALANDS LÄN</t>
        </is>
      </c>
      <c r="E14979" t="inlineStr">
        <is>
          <t>UDDEVALLA</t>
        </is>
      </c>
      <c r="G14979" t="n">
        <v>3.6</v>
      </c>
      <c r="H14979" t="n">
        <v>0</v>
      </c>
      <c r="I14979" t="n">
        <v>0</v>
      </c>
      <c r="J14979" t="n">
        <v>0</v>
      </c>
      <c r="K14979" t="n">
        <v>0</v>
      </c>
      <c r="L14979" t="n">
        <v>0</v>
      </c>
      <c r="M14979" t="n">
        <v>0</v>
      </c>
      <c r="N14979" t="n">
        <v>0</v>
      </c>
      <c r="O14979" t="n">
        <v>0</v>
      </c>
      <c r="P14979" t="n">
        <v>0</v>
      </c>
      <c r="Q14979" t="n">
        <v>0</v>
      </c>
      <c r="R14979" s="2" t="inlineStr"/>
    </row>
    <row r="14980">
      <c r="A14980" t="inlineStr">
        <is>
          <t>A 37801-2024</t>
        </is>
      </c>
      <c r="B14980" s="1" t="n">
        <v>45543</v>
      </c>
      <c r="C14980" s="1" t="n">
        <v>46011</v>
      </c>
      <c r="D14980" t="inlineStr">
        <is>
          <t>VÄSTRA GÖTALANDS LÄN</t>
        </is>
      </c>
      <c r="E14980" t="inlineStr">
        <is>
          <t>TROLLHÄTTAN</t>
        </is>
      </c>
      <c r="G14980" t="n">
        <v>2</v>
      </c>
      <c r="H14980" t="n">
        <v>0</v>
      </c>
      <c r="I14980" t="n">
        <v>0</v>
      </c>
      <c r="J14980" t="n">
        <v>0</v>
      </c>
      <c r="K14980" t="n">
        <v>0</v>
      </c>
      <c r="L14980" t="n">
        <v>0</v>
      </c>
      <c r="M14980" t="n">
        <v>0</v>
      </c>
      <c r="N14980" t="n">
        <v>0</v>
      </c>
      <c r="O14980" t="n">
        <v>0</v>
      </c>
      <c r="P14980" t="n">
        <v>0</v>
      </c>
      <c r="Q14980" t="n">
        <v>0</v>
      </c>
      <c r="R14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2025-12-20T14:08:55Z</dcterms:created>
  <dcterms:modified xmlns:dcterms="http://purl.org/dc/terms/" xmlns:xsi="http://www.w3.org/2001/XMLSchema-instance" xsi:type="dcterms:W3CDTF">2025-12-20T14:09:07Z</dcterms:modified>
</cp:coreProperties>
</file>